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 без нач" sheetId="2" r:id="rId2"/>
    <sheet name="Текущие цены за единицу" sheetId="3" r:id="rId3"/>
    <sheet name="Текущие цены с учетом расхода" sheetId="4" r:id="rId4"/>
    <sheet name="Начисления" sheetId="5" r:id="rId5"/>
    <sheet name="Определители" sheetId="6" r:id="rId6"/>
    <sheet name="Текущие концовки" sheetId="7" r:id="rId7"/>
  </sheets>
  <definedNames/>
  <calcPr fullCalcOnLoad="1"/>
</workbook>
</file>

<file path=xl/sharedStrings.xml><?xml version="1.0" encoding="utf-8"?>
<sst xmlns="http://schemas.openxmlformats.org/spreadsheetml/2006/main" count="1001" uniqueCount="348">
  <si>
    <t>&lt; 95 * 95,1 * 95,4 &gt;</t>
  </si>
  <si>
    <t>Документ составлен в ПК РИК (вер.1.3.180710) тел./факс (495) 347-33-01</t>
  </si>
  <si>
    <t>Форма 4</t>
  </si>
  <si>
    <t xml:space="preserve">Стройка: </t>
  </si>
  <si>
    <t>Площадка под мусорные баки Микунь 2019г.</t>
  </si>
  <si>
    <t xml:space="preserve">Объект: </t>
  </si>
  <si>
    <t>ЛОКАЛЬНАЯ СМЕТА № 95,4</t>
  </si>
  <si>
    <t>(Локальный сметный расчет)</t>
  </si>
  <si>
    <t>на Площадка под мусорные баки Микунь 2019г.(базов.вариант)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</si>
  <si>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</si>
  <si>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</si>
  <si>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</si>
  <si>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</si>
  <si>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</si>
  <si>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текущих ценах на 11.2019 г. по НБ: "ФЕР-2001 в редакции 2017 года с доп. и изм. 2 (приказы Минстроя России №№ 1252/пр - 1286/пр)".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</si>
  <si>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</si>
  <si>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</si>
  <si>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</si>
  <si>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</si>
  <si>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</si>
  <si>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</si>
  <si>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</si>
  <si>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</si>
  <si>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</si>
  <si>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</si>
  <si>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</si>
  <si>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</si>
  <si>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</si>
  <si>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ФЕР 27-04-001-01
(Приказ № 1039/пр от 30.12.2016)
Устройство подстилающих и выравнивающих слоев оснований: из песка, 100 м3</t>
  </si>
  <si>
    <t>sum</t>
  </si>
  <si>
    <t>IsZPR</t>
  </si>
  <si>
    <t>sum_b</t>
  </si>
  <si>
    <t>IsZPM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</si>
  <si>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</si>
  <si>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</si>
  <si>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</si>
  <si>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</si>
  <si>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</si>
  <si>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Вспомогательные ненормируемые материалы</t>
  </si>
  <si>
    <t>NenormMatOtZPR</t>
  </si>
  <si>
    <t>IsMater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</si>
  <si>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</si>
  <si>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</si>
  <si>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</si>
  <si>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</si>
  <si>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</si>
  <si>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</si>
  <si>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</si>
  <si>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</si>
  <si>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</si>
  <si>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</si>
  <si>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</si>
  <si>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</si>
  <si>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</si>
  <si>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</si>
  <si>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</si>
  <si>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</si>
  <si>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ФЕР 01-02-005-01
(Приказ № 1039/пр от 30.12.2016)
Уплотнение грунта пневматическими трамбовками, группа грунтов: 1-2, 100 м3</t>
  </si>
  <si>
    <t>3.</t>
  </si>
  <si>
    <t>ФССЦпг 03-21-01-050
(Приказ № 1039/пр от 30.12.2016)
Перевозка грузов I класса автомобилями-самосвалами грузоподъемностью 10 т работающих вне карьера на расстояние: до 50 км (песок), 1 т груза</t>
  </si>
  <si>
    <t>в т.ч. Накладные расходы</t>
  </si>
  <si>
    <t>в т.ч. Сметная прибыль</t>
  </si>
  <si>
    <t>4.</t>
  </si>
  <si>
    <t>ФЕР 27-06-001-04
(Приказ № 1039/пр от 30.12.2016)
Устройство дорожных покрытий из сборных прямоугольных железобетонных плит площадью: свыше 10,5 м2(ПДН 2х6), 100 м3</t>
  </si>
  <si>
    <t>5.</t>
  </si>
  <si>
    <t>С Прайс1.
Дорожная плита ПДН 2х6, 1 шт.</t>
  </si>
  <si>
    <t>6.</t>
  </si>
  <si>
    <t>ФССЦпг 03-01-01-120
(Приказ № 1039/пр от 30.12.2016)
Перевозка грузов I класса автомобилями бортовыми грузоподъемностью до 15 т на расстояние: до 120 км, 1 т груза</t>
  </si>
  <si>
    <t>7.</t>
  </si>
  <si>
    <t>ФЕР 09-03-039-05
(Приказ № 1039/пр от 30.12.2016)
Монтаж опорных конструкций: этажерочного типа (ограждения  площадки) прим., т</t>
  </si>
  <si>
    <t>8.</t>
  </si>
  <si>
    <t>ФССЦ 23.3.05.02-0075
(Приказ № 1039/пр от 30.12.2016)
Трубы стальные бесшовные, холоднодеформированные из стали марок 10, 20, 30, 45 (ГОСТ 8734-75, 8733-74), наружным диаметром: 50 мм, толщина стенки 2,5 мм, м</t>
  </si>
  <si>
    <t>9.</t>
  </si>
  <si>
    <t>ФЕР 09-04-006-02
(Приказ № 1039/пр от 30.12.2016)
Монтаж ограждающих конструкций стен: из профилированного листа при высоте здания до 30 м, 100 м2</t>
  </si>
  <si>
    <t>10.</t>
  </si>
  <si>
    <t>ФССЦ 08.3.09.05-0032
(Приказ № 1039/пр от 30.12.2016)
Профили с трапециевидными гофрами из оцинкованного проката толщ.=0,6, т</t>
  </si>
  <si>
    <t>11.</t>
  </si>
  <si>
    <t>ФЕР 09-05-006-01
(Приказ № 1039/пр от 30.12.2016)
Резка стального профилированного настила, м реза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</si>
  <si>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</si>
  <si>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</si>
  <si>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</si>
  <si>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</si>
  <si>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</si>
  <si>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</si>
  <si>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</si>
  <si>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</si>
  <si>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</si>
  <si>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</si>
  <si>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</si>
  <si>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</si>
  <si>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</si>
  <si>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</si>
  <si>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</si>
  <si>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МАТЕРИАЛЬНЫЕ 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</si>
  <si>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</si>
  <si>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</si>
  <si>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</si>
  <si>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</si>
  <si>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</si>
  <si>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</si>
  <si>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(%=108.63 - по стр. 1, 4; %=72.68 - по стр. 2)</t>
  </si>
  <si>
    <t>.   СМЕТНАЯ ПРИБЫЛЬ - (%=64.6 - по стр. 1, 4; %=34 - по стр. 2)</t>
  </si>
  <si>
    <t>ВСЕГО, СТОИМОСТЬ ОБЩЕСТРОИТЕЛЬНЫХ РАБОТ -</t>
  </si>
  <si>
    <t>СТОИМОСТЬ МЕТАЛЛОМОНТАЖНЫХ РАБОТ -</t>
  </si>
  <si>
    <t>.   НАКЛАДНЫЕ РАСХОДЫ - (%=68.85 - по стр. 7, 9, 11)</t>
  </si>
  <si>
    <t>.   СМЕТНАЯ ПРИБЫЛЬ - (%=57.8 - по стр. 7, 9, 11)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</si>
  <si>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</si>
  <si>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</si>
  <si>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</si>
  <si>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</si>
  <si>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</si>
  <si>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</si>
  <si>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</si>
  <si>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</si>
  <si>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РЕСТАВРАЦИОННЫХ РАБОТ -</t>
  </si>
  <si>
    <t>ВСЕГО, СТОИМОСТЬ РЕСТАВРАЦИОННЫХ РАБОТ -</t>
  </si>
  <si>
    <t>СТОИМОСТЬ ПЕРЕВОЗКИ ГРУЗОВ -</t>
  </si>
  <si>
    <t>.   В Т.Ч. НАКЛАДНЫЕ РАСХОДЫ -</t>
  </si>
  <si>
    <t>.   В Т.Ч. СМЕТНАЯ ПРИБЫЛЬ -</t>
  </si>
  <si>
    <t>ВСЕГО, СТОИМОСТЬ ПЕРЕВОЗКИ ГРУЗОВ -</t>
  </si>
  <si>
    <t>СТОИМОСТЬ ПУСКОНАЛАДОЧНЫХ РАБОТ -</t>
  </si>
  <si>
    <t>ВСЕГО, СТОИМОСТЬ ПУСКОНАЛАДОЧНЫХ РАБОТ -</t>
  </si>
  <si>
    <t>СТОИМОСТЬ ПРОЧИХ РАБОТ (с НР и СП) -</t>
  </si>
  <si>
    <t>ВСЕГО, СТОИМОСТЬ ПРОЧИХ РАБОТ (с НР и СП) -</t>
  </si>
  <si>
    <t>ВСЕГО, СТОИМОСТЬ ПРОЧИХ РАБОТ (без НР и СП)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</si>
  <si>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</si>
  <si>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</si>
  <si>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</si>
  <si>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</si>
  <si>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в т.ч. Вспомогательные материалы от ОЗП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</si>
  <si>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</si>
  <si>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</si>
  <si>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</si>
  <si>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</si>
  <si>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</si>
  <si>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</si>
  <si>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</si>
  <si>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</si>
  <si>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</si>
  <si>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</si>
  <si>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</si>
  <si>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</si>
  <si>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</si>
  <si>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</si>
  <si>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</si>
  <si>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</si>
  <si>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</si>
  <si>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</si>
  <si>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</si>
  <si>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</si>
  <si>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</si>
  <si>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</si>
  <si>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</si>
  <si>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</si>
  <si>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</si>
  <si>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</si>
  <si>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</si>
  <si>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</si>
  <si>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</si>
  <si>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</si>
  <si>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</si>
  <si>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</si>
  <si>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</si>
  <si>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</si>
  <si>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</si>
  <si>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</si>
  <si>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</si>
  <si>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MR_BY_ZPR_VSPOMOG</t>
  </si>
  <si>
    <t>NAKL_INC</t>
  </si>
  <si>
    <t>PLAN_INC</t>
  </si>
  <si>
    <t>RN14</t>
  </si>
  <si>
    <t>RN15</t>
  </si>
  <si>
    <t>RN16</t>
  </si>
  <si>
    <t>OBORUD</t>
  </si>
  <si>
    <t>N = &lt; 95 * 95,1 * 95,4 &gt;</t>
  </si>
  <si>
    <t xml:space="preserve">          Площадка под мусорные баки Микунь 2019г.(базов.вариант)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</si>
  <si>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</si>
  <si>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</si>
  <si>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</si>
  <si>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</si>
  <si>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</si>
  <si>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</si>
  <si>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</si>
  <si>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</si>
  <si>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</si>
  <si>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</si>
  <si>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</si>
  <si>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</si>
  <si>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</si>
  <si>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</si>
  <si>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</si>
  <si>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</si>
  <si>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</si>
  <si>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</si>
  <si>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</si>
  <si>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</si>
  <si>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</si>
  <si>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</si>
  <si>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</si>
  <si>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</si>
  <si>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</si>
  <si>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</si>
  <si>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</si>
  <si>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</si>
  <si>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</si>
  <si>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</si>
  <si>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</si>
  <si>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</si>
  <si>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</si>
  <si>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</si>
  <si>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</si>
  <si>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</si>
  <si>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</si>
  <si>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</si>
  <si>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</si>
  <si>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</si>
  <si>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</si>
  <si>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</si>
  <si>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</si>
  <si>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</si>
  <si>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</si>
  <si>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</si>
  <si>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</si>
  <si>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</si>
  <si>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</si>
  <si>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</si>
  <si>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</si>
  <si>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</si>
  <si>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</si>
  <si>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</si>
  <si>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</si>
  <si>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</si>
  <si>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</si>
  <si>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</si>
  <si>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</si>
  <si>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</si>
  <si>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</si>
  <si>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</si>
  <si>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3</t>
  </si>
  <si>
    <t>;</t>
  </si>
  <si>
    <t>4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</si>
  <si>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</si>
  <si>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</si>
  <si>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</si>
  <si>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</si>
  <si>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</si>
  <si>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</si>
  <si>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</si>
  <si>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</si>
  <si>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</si>
  <si>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</si>
  <si>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</si>
  <si>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</si>
  <si>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</si>
  <si>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</si>
  <si>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</si>
  <si>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</si>
  <si>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</si>
  <si>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</si>
  <si>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</si>
  <si>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</si>
  <si>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</si>
  <si>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</si>
  <si>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</si>
  <si>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</si>
  <si>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</si>
  <si>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</si>
  <si>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</si>
  <si>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</si>
  <si>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</si>
  <si>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</si>
  <si>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</si>
  <si>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</si>
  <si>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</si>
  <si>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</si>
  <si>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</si>
  <si>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</si>
  <si>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</si>
  <si>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</si>
  <si>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</si>
  <si>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</si>
  <si>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</si>
  <si>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</si>
  <si>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</si>
  <si>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</si>
  <si>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</si>
  <si>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</si>
  <si>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</si>
  <si>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</si>
  <si>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</si>
  <si>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</si>
  <si>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</si>
  <si>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</si>
  <si>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</si>
  <si>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</si>
  <si>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</si>
  <si>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</si>
  <si>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</si>
  <si>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</si>
  <si>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</si>
  <si>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</si>
  <si>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</si>
  <si>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</si>
  <si>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</si>
  <si>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</si>
  <si>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</si>
  <si>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</si>
  <si>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</si>
  <si>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</si>
  <si>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</si>
  <si>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</si>
  <si>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</si>
  <si>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</si>
  <si>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</si>
  <si>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</si>
  <si>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</si>
  <si>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</si>
  <si>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</si>
  <si>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</si>
  <si>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</si>
  <si>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</si>
  <si>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</si>
  <si>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</si>
  <si>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</si>
  <si>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</si>
  <si>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</si>
  <si>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</si>
  <si>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</si>
  <si>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</si>
  <si>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</si>
  <si>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</si>
  <si>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h</t>
  </si>
  <si>
    <t>80</t>
  </si>
  <si>
    <t>81</t>
  </si>
  <si>
    <t>82</t>
  </si>
  <si>
    <t>83</t>
  </si>
  <si>
    <t>s</t>
  </si>
  <si>
    <t>84</t>
  </si>
  <si>
    <t>85</t>
  </si>
  <si>
    <t>86</t>
  </si>
  <si>
    <t>87</t>
  </si>
  <si>
    <t>НДС 20%</t>
  </si>
  <si>
    <t>ИТОГО С НДС</t>
  </si>
  <si>
    <t>С корректирующий коэффиц. 0,9656475406500241</t>
  </si>
  <si>
    <t>Обустройство  одного места  накопления твердых коммунальных отходов для создания системы по раздельному накоплению отходов</t>
  </si>
  <si>
    <t>на Обустройство  одного места  накопления твердых коммунальных отходов для создания системы по раздельному накоплению отходов</t>
  </si>
  <si>
    <t>С корректирующий коэффиц. по итогам аукциона 0,9099998728542879</t>
  </si>
  <si>
    <t xml:space="preserve">Приложение №2 к муниципальному контракту № 01073000158190000210001  от "03"декабря  2019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</si>
</sst>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"/>
    <numFmt numFmtId="173" formatCode="##0"/>
    <numFmt numFmtId="174" formatCode="#,##0.00;\-#,##0.00;"/>
    <numFmt numFmtId="175" formatCode="#,##0.##;\-#,##0.##;#\ ##"/>
    <numFmt numFmtId="176" formatCode="#,##0.00000000;\-#,##0.00000000;"/>
    <numFmt numFmtId="177" formatCode="#,##0.00######################"/>
    <numFmt numFmtId="178" formatCode="#,##0.00_ ;\-#,##0.00\ "/>
    <numFmt numFmtId="179" formatCode="0.000000"/>
  </numFmts>
  <fonts count="41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8"/>
      <color indexed="9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 applyProtection="1">
      <alignment/>
      <protection/>
    </xf>
    <xf numFmtId="172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72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73" fontId="0" fillId="0" borderId="11" xfId="0" applyNumberFormat="1" applyFont="1" applyBorder="1" applyAlignment="1">
      <alignment horizontal="center" vertical="top" wrapText="1"/>
    </xf>
    <xf numFmtId="174" fontId="3" fillId="0" borderId="0" xfId="0" applyNumberFormat="1" applyFont="1" applyAlignment="1">
      <alignment horizontal="right" vertical="top" wrapText="1"/>
    </xf>
    <xf numFmtId="174" fontId="0" fillId="0" borderId="0" xfId="0" applyNumberFormat="1" applyFont="1" applyAlignment="1">
      <alignment horizontal="right" vertical="top" wrapText="1"/>
    </xf>
    <xf numFmtId="172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horizontal="right" vertical="top" wrapText="1"/>
    </xf>
    <xf numFmtId="172" fontId="0" fillId="0" borderId="12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172" fontId="2" fillId="0" borderId="0" xfId="0" applyNumberFormat="1" applyFont="1" applyAlignment="1">
      <alignment horizontal="right" vertical="top" wrapText="1"/>
    </xf>
    <xf numFmtId="174" fontId="2" fillId="0" borderId="0" xfId="0" applyNumberFormat="1" applyFont="1" applyAlignment="1">
      <alignment horizontal="right" vertical="top"/>
    </xf>
    <xf numFmtId="174" fontId="6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horizontal="right" vertical="top"/>
    </xf>
    <xf numFmtId="175" fontId="2" fillId="0" borderId="0" xfId="0" applyNumberFormat="1" applyFont="1" applyAlignment="1">
      <alignment horizontal="right" vertical="top"/>
    </xf>
    <xf numFmtId="172" fontId="7" fillId="0" borderId="0" xfId="0" applyNumberFormat="1" applyFont="1" applyAlignment="1">
      <alignment horizontal="right" vertical="top" wrapText="1"/>
    </xf>
    <xf numFmtId="174" fontId="0" fillId="0" borderId="0" xfId="0" applyNumberFormat="1" applyFont="1" applyAlignment="1">
      <alignment horizontal="right" vertical="top"/>
    </xf>
    <xf numFmtId="172" fontId="0" fillId="0" borderId="0" xfId="0" applyNumberFormat="1" applyFont="1" applyAlignment="1">
      <alignment horizontal="right" vertical="top"/>
    </xf>
    <xf numFmtId="172" fontId="2" fillId="0" borderId="0" xfId="0" applyNumberFormat="1" applyFont="1" applyAlignment="1">
      <alignment horizontal="center" vertical="center"/>
    </xf>
    <xf numFmtId="172" fontId="0" fillId="33" borderId="0" xfId="0" applyNumberFormat="1" applyFont="1" applyFill="1" applyBorder="1" applyAlignment="1">
      <alignment horizontal="right" vertical="top"/>
    </xf>
    <xf numFmtId="176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 vertical="center"/>
    </xf>
    <xf numFmtId="172" fontId="0" fillId="33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72" fontId="2" fillId="0" borderId="0" xfId="0" applyNumberFormat="1" applyFont="1" applyAlignment="1">
      <alignment horizontal="left" vertical="top" wrapText="1"/>
    </xf>
    <xf numFmtId="172" fontId="0" fillId="0" borderId="0" xfId="0" applyNumberFormat="1" applyFont="1" applyAlignment="1">
      <alignment horizontal="right" vertical="top" wrapText="1"/>
    </xf>
    <xf numFmtId="2" fontId="2" fillId="0" borderId="0" xfId="0" applyNumberFormat="1" applyFont="1" applyAlignment="1">
      <alignment horizontal="right" vertical="top" wrapText="1"/>
    </xf>
    <xf numFmtId="179" fontId="2" fillId="0" borderId="0" xfId="0" applyNumberFormat="1" applyFont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72" fontId="2" fillId="0" borderId="0" xfId="0" applyNumberFormat="1" applyFont="1" applyAlignment="1">
      <alignment horizontal="right" vertical="top" wrapText="1"/>
    </xf>
    <xf numFmtId="174" fontId="2" fillId="0" borderId="0" xfId="0" applyNumberFormat="1" applyFont="1" applyAlignment="1">
      <alignment horizontal="right" vertical="top"/>
    </xf>
    <xf numFmtId="172" fontId="0" fillId="0" borderId="0" xfId="0" applyNumberFormat="1" applyFont="1" applyAlignment="1">
      <alignment horizontal="right" vertical="top" wrapText="1"/>
    </xf>
    <xf numFmtId="175" fontId="2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174" fontId="0" fillId="0" borderId="0" xfId="0" applyNumberFormat="1" applyFont="1" applyAlignment="1">
      <alignment horizontal="right" vertical="top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72" fontId="2" fillId="0" borderId="0" xfId="0" applyNumberFormat="1" applyFont="1" applyAlignment="1">
      <alignment horizontal="right" vertical="top"/>
    </xf>
    <xf numFmtId="172" fontId="0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172" fontId="0" fillId="0" borderId="0" xfId="0" applyNumberFormat="1" applyFont="1" applyAlignment="1">
      <alignment horizontal="right" vertical="top"/>
    </xf>
    <xf numFmtId="174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72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7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320"/>
  <sheetViews>
    <sheetView tabSelected="1" zoomScalePageLayoutView="0" workbookViewId="0" topLeftCell="A281">
      <selection activeCell="P18" sqref="P18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9.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5" width="11.57421875" style="1" bestFit="1" customWidth="1"/>
    <col min="16" max="17" width="9.140625" style="1" customWidth="1"/>
    <col min="18" max="18" width="9.140625" style="1" hidden="1" customWidth="1"/>
    <col min="19" max="22" width="9.140625" style="1" customWidth="1"/>
    <col min="23" max="24" width="90.7109375" style="1" hidden="1" customWidth="1"/>
    <col min="25" max="25" width="100.7109375" style="1" hidden="1" customWidth="1"/>
    <col min="26" max="16384" width="9.140625" style="1" customWidth="1"/>
  </cols>
  <sheetData>
    <row r="1" spans="1:10" ht="10.5">
      <c r="A1" s="2" t="s">
        <v>0</v>
      </c>
      <c r="D1" s="2" t="s">
        <v>1</v>
      </c>
      <c r="J1" s="3" t="s">
        <v>2</v>
      </c>
    </row>
    <row r="2" spans="8:10" ht="45.75" customHeight="1">
      <c r="H2" s="59" t="s">
        <v>347</v>
      </c>
      <c r="I2" s="60"/>
      <c r="J2" s="60"/>
    </row>
    <row r="3" spans="2:23" ht="32.25" customHeight="1">
      <c r="B3" s="4" t="s">
        <v>3</v>
      </c>
      <c r="C3" s="62" t="s">
        <v>344</v>
      </c>
      <c r="D3" s="47"/>
      <c r="E3" s="47"/>
      <c r="F3" s="47"/>
      <c r="G3" s="47"/>
      <c r="H3" s="47"/>
      <c r="I3" s="47"/>
      <c r="J3" s="47"/>
      <c r="W3" s="6" t="s">
        <v>4</v>
      </c>
    </row>
    <row r="4" spans="2:24" ht="30" customHeight="1">
      <c r="B4" s="4" t="s">
        <v>5</v>
      </c>
      <c r="C4" s="62" t="s">
        <v>344</v>
      </c>
      <c r="D4" s="47"/>
      <c r="E4" s="47"/>
      <c r="F4" s="47"/>
      <c r="G4" s="47"/>
      <c r="H4" s="47"/>
      <c r="I4" s="47"/>
      <c r="J4" s="47"/>
      <c r="X4" s="6" t="s">
        <v>4</v>
      </c>
    </row>
    <row r="5" spans="1:25" ht="10.5">
      <c r="A5" s="63" t="s">
        <v>6</v>
      </c>
      <c r="B5" s="63"/>
      <c r="C5" s="63"/>
      <c r="D5" s="63"/>
      <c r="E5" s="63"/>
      <c r="F5" s="63"/>
      <c r="G5" s="63"/>
      <c r="H5" s="63"/>
      <c r="I5" s="63"/>
      <c r="J5" s="63"/>
      <c r="Y5" s="6" t="s">
        <v>6</v>
      </c>
    </row>
    <row r="6" spans="1:25" ht="10.5">
      <c r="A6" s="55" t="s">
        <v>7</v>
      </c>
      <c r="B6" s="55"/>
      <c r="C6" s="55"/>
      <c r="D6" s="55"/>
      <c r="E6" s="55"/>
      <c r="F6" s="55"/>
      <c r="G6" s="55"/>
      <c r="H6" s="55"/>
      <c r="I6" s="55"/>
      <c r="J6" s="55"/>
      <c r="Y6" s="6" t="s">
        <v>7</v>
      </c>
    </row>
    <row r="7" spans="1:25" ht="10.5">
      <c r="A7" s="54" t="s">
        <v>345</v>
      </c>
      <c r="B7" s="55"/>
      <c r="C7" s="55"/>
      <c r="D7" s="55"/>
      <c r="E7" s="55"/>
      <c r="F7" s="55"/>
      <c r="G7" s="55"/>
      <c r="H7" s="55"/>
      <c r="I7" s="55"/>
      <c r="J7" s="55"/>
      <c r="Y7" s="6" t="s">
        <v>8</v>
      </c>
    </row>
    <row r="8" spans="7:10" ht="10.5">
      <c r="G8" s="4" t="s">
        <v>9</v>
      </c>
      <c r="H8" s="58">
        <v>44.374</v>
      </c>
      <c r="I8" s="58"/>
      <c r="J8" s="8" t="s">
        <v>10</v>
      </c>
    </row>
    <row r="9" spans="7:10" ht="10.5">
      <c r="G9" s="4" t="s">
        <v>11</v>
      </c>
      <c r="H9" s="58" t="str">
        <f>TEXT((J309)/1000,"# ##0"&amp;GetSeparator()&amp;"000")</f>
        <v> 0,019</v>
      </c>
      <c r="I9" s="58"/>
      <c r="J9" s="8" t="s">
        <v>12</v>
      </c>
    </row>
    <row r="10" spans="7:10" ht="10.5">
      <c r="G10" s="4" t="s">
        <v>13</v>
      </c>
      <c r="H10" s="58" t="str">
        <f>TEXT((F306)/1000,"# ##0"&amp;GetSeparator()&amp;"000")</f>
        <v> 4,697</v>
      </c>
      <c r="I10" s="58"/>
      <c r="J10" s="8" t="s">
        <v>10</v>
      </c>
    </row>
    <row r="11" spans="1:10" ht="10.5">
      <c r="A11" s="56" t="s">
        <v>14</v>
      </c>
      <c r="B11" s="57"/>
      <c r="C11" s="57"/>
      <c r="D11" s="57"/>
      <c r="E11" s="57"/>
      <c r="F11" s="57"/>
      <c r="G11" s="57"/>
      <c r="H11" s="57"/>
      <c r="I11" s="57"/>
      <c r="J11" s="57"/>
    </row>
    <row r="12" ht="4.5" customHeight="1"/>
    <row r="13" spans="1:10" ht="21.75" customHeight="1">
      <c r="A13" s="49" t="s">
        <v>15</v>
      </c>
      <c r="B13" s="49" t="s">
        <v>16</v>
      </c>
      <c r="C13" s="49" t="s">
        <v>17</v>
      </c>
      <c r="D13" s="52" t="s">
        <v>18</v>
      </c>
      <c r="E13" s="53"/>
      <c r="F13" s="52" t="s">
        <v>19</v>
      </c>
      <c r="G13" s="61"/>
      <c r="H13" s="53"/>
      <c r="I13" s="52" t="s">
        <v>20</v>
      </c>
      <c r="J13" s="53"/>
    </row>
    <row r="14" spans="1:10" ht="10.5" customHeight="1">
      <c r="A14" s="50"/>
      <c r="B14" s="50"/>
      <c r="C14" s="50"/>
      <c r="D14" s="10" t="s">
        <v>21</v>
      </c>
      <c r="E14" s="10" t="s">
        <v>22</v>
      </c>
      <c r="F14" s="49" t="s">
        <v>21</v>
      </c>
      <c r="G14" s="49" t="s">
        <v>23</v>
      </c>
      <c r="H14" s="10" t="s">
        <v>22</v>
      </c>
      <c r="I14" s="52" t="s">
        <v>24</v>
      </c>
      <c r="J14" s="53"/>
    </row>
    <row r="15" spans="1:10" ht="21.75" customHeight="1">
      <c r="A15" s="51"/>
      <c r="B15" s="51"/>
      <c r="C15" s="51"/>
      <c r="D15" s="10" t="s">
        <v>23</v>
      </c>
      <c r="E15" s="10" t="s">
        <v>25</v>
      </c>
      <c r="F15" s="51"/>
      <c r="G15" s="51"/>
      <c r="H15" s="10" t="s">
        <v>25</v>
      </c>
      <c r="I15" s="10" t="s">
        <v>26</v>
      </c>
      <c r="J15" s="10" t="s">
        <v>21</v>
      </c>
    </row>
    <row r="16" spans="1:10" ht="10.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4" ht="10.5">
      <c r="A17" s="46" t="s">
        <v>27</v>
      </c>
      <c r="B17" s="47" t="s">
        <v>28</v>
      </c>
      <c r="C17" s="44">
        <v>0.018</v>
      </c>
      <c r="D17" s="12">
        <f>'Текущие цены за единицу'!B6</f>
        <v>26509.98</v>
      </c>
      <c r="E17" s="12">
        <f>'Текущие цены за единицу'!D6</f>
        <v>23067.75</v>
      </c>
      <c r="F17" s="48">
        <f>'Текущие цены с учетом расхода'!B6</f>
        <v>477.18</v>
      </c>
      <c r="G17" s="48">
        <f>'Текущие цены с учетом расхода'!C6</f>
        <v>58.86</v>
      </c>
      <c r="H17" s="12">
        <f>'Текущие цены с учетом расхода'!D6</f>
        <v>415.22</v>
      </c>
      <c r="I17" s="14">
        <v>15.72</v>
      </c>
      <c r="J17" s="14">
        <f>'Текущие цены с учетом расхода'!I6</f>
        <v>0.28296</v>
      </c>
      <c r="K17" s="1" t="s">
        <v>29</v>
      </c>
      <c r="L17" s="1" t="s">
        <v>30</v>
      </c>
      <c r="N17" s="48">
        <f>'Текущие цены с учетом расхода'!F6</f>
        <v>3.1</v>
      </c>
    </row>
    <row r="18" spans="1:14" ht="43.5" customHeight="1">
      <c r="A18" s="44"/>
      <c r="B18" s="44"/>
      <c r="C18" s="44"/>
      <c r="D18" s="13">
        <f>'Текущие цены за единицу'!C6</f>
        <v>3270.23</v>
      </c>
      <c r="E18" s="13">
        <f>'Текущие цены за единицу'!E6</f>
        <v>3972.73</v>
      </c>
      <c r="F18" s="48"/>
      <c r="G18" s="48"/>
      <c r="H18" s="13">
        <f>'Текущие цены с учетом расхода'!E6</f>
        <v>71.51</v>
      </c>
      <c r="I18" s="1">
        <v>13.88</v>
      </c>
      <c r="J18" s="1">
        <f>'Текущие цены с учетом расхода'!K6</f>
        <v>0.24984</v>
      </c>
      <c r="K18" s="1" t="s">
        <v>31</v>
      </c>
      <c r="L18" s="1" t="s">
        <v>32</v>
      </c>
      <c r="N18" s="48"/>
    </row>
    <row r="19" ht="10.5">
      <c r="B19" s="15" t="str">
        <f>IF(ROUND((2*6*0.15)/100,9)=C17,"Объем: 2*6*0,15","")</f>
        <v>Объем: 2*6*0,15</v>
      </c>
    </row>
    <row r="20" spans="2:6" ht="10.5" hidden="1">
      <c r="B20" s="16" t="s">
        <v>33</v>
      </c>
      <c r="F20" s="1">
        <v>58.86</v>
      </c>
    </row>
    <row r="21" spans="2:6" ht="10.5" hidden="1">
      <c r="B21" s="16" t="s">
        <v>34</v>
      </c>
      <c r="F21" s="1">
        <v>415.22</v>
      </c>
    </row>
    <row r="22" spans="2:6" ht="10.5" hidden="1">
      <c r="B22" s="16" t="s">
        <v>35</v>
      </c>
      <c r="F22" s="1">
        <v>71.51</v>
      </c>
    </row>
    <row r="23" spans="2:6" ht="10.5" hidden="1">
      <c r="B23" s="16" t="s">
        <v>36</v>
      </c>
      <c r="F23" s="1">
        <v>3.1</v>
      </c>
    </row>
    <row r="24" ht="21" hidden="1">
      <c r="B24" s="16" t="s">
        <v>37</v>
      </c>
    </row>
    <row r="25" spans="2:12" ht="21" hidden="1">
      <c r="B25" s="16" t="s">
        <v>38</v>
      </c>
      <c r="C25" s="17"/>
      <c r="K25" s="1" t="s">
        <v>39</v>
      </c>
      <c r="L25" s="1" t="s">
        <v>40</v>
      </c>
    </row>
    <row r="26" ht="10.5" hidden="1">
      <c r="B26" s="16" t="s">
        <v>41</v>
      </c>
    </row>
    <row r="27" ht="21" hidden="1">
      <c r="B27" s="16" t="s">
        <v>42</v>
      </c>
    </row>
    <row r="28" ht="10.5" hidden="1">
      <c r="B28" s="16" t="s">
        <v>43</v>
      </c>
    </row>
    <row r="29" spans="2:12" ht="10.5" hidden="1">
      <c r="B29" s="16" t="s">
        <v>44</v>
      </c>
      <c r="C29" s="1">
        <v>108.63</v>
      </c>
      <c r="F29" s="13">
        <f>IF('Текущие цены с учетом расхода'!N6&gt;0,'Текущие цены с учетом расхода'!N6,IF('Текущие цены с учетом расхода'!N6&lt;0,'Текущие цены с учетом расхода'!N6,""))</f>
        <v>141.62</v>
      </c>
      <c r="L29" s="5" t="s">
        <v>45</v>
      </c>
    </row>
    <row r="30" spans="2:12" ht="10.5" hidden="1">
      <c r="B30" s="16" t="s">
        <v>46</v>
      </c>
      <c r="C30" s="1">
        <v>108.63</v>
      </c>
      <c r="F30" s="13">
        <f>IF('Текущие цены с учетом расхода'!P6&gt;0,'Текущие цены с учетом расхода'!P6,IF('Текущие цены с учетом расхода'!P6&lt;0,'Текущие цены с учетом расхода'!P6,""))</f>
        <v>63.94</v>
      </c>
      <c r="L30" s="5" t="s">
        <v>47</v>
      </c>
    </row>
    <row r="31" spans="2:12" ht="10.5" hidden="1">
      <c r="B31" s="16" t="s">
        <v>48</v>
      </c>
      <c r="C31" s="1">
        <v>108.63</v>
      </c>
      <c r="F31" s="13">
        <f>IF('Текущие цены с учетом расхода'!Q6&gt;0,'Текущие цены с учетом расхода'!Q6,IF('Текущие цены с учетом расхода'!Q6&lt;0,'Текущие цены с учетом расхода'!Q6,""))</f>
        <v>77.68</v>
      </c>
      <c r="L31" s="5" t="s">
        <v>49</v>
      </c>
    </row>
    <row r="32" spans="2:12" ht="10.5" hidden="1">
      <c r="B32" s="16" t="s">
        <v>50</v>
      </c>
      <c r="C32" s="1">
        <v>64.6</v>
      </c>
      <c r="F32" s="13">
        <f>IF('Текущие цены с учетом расхода'!O6&gt;0,'Текущие цены с учетом расхода'!O6,IF('Текущие цены с учетом расхода'!O6&lt;0,'Текущие цены с учетом расхода'!O6,""))</f>
        <v>84.22</v>
      </c>
      <c r="L32" s="5" t="s">
        <v>51</v>
      </c>
    </row>
    <row r="33" spans="2:12" ht="10.5" hidden="1">
      <c r="B33" s="16" t="s">
        <v>52</v>
      </c>
      <c r="C33" s="1">
        <v>64.6</v>
      </c>
      <c r="F33" s="13">
        <f>IF('Текущие цены с учетом расхода'!R6&gt;0,'Текущие цены с учетом расхода'!R6,IF('Текущие цены с учетом расхода'!R6&lt;0,'Текущие цены с учетом расхода'!R6,""))</f>
        <v>38.03</v>
      </c>
      <c r="L33" s="5" t="s">
        <v>53</v>
      </c>
    </row>
    <row r="34" spans="2:12" ht="10.5" hidden="1">
      <c r="B34" s="16" t="s">
        <v>54</v>
      </c>
      <c r="C34" s="1">
        <v>64.6</v>
      </c>
      <c r="F34" s="13">
        <f>IF('Текущие цены с учетом расхода'!S6&gt;0,'Текущие цены с учетом расхода'!S6,IF('Текущие цены с учетом расхода'!S6&lt;0,'Текущие цены с учетом расхода'!S6,""))</f>
        <v>46.19</v>
      </c>
      <c r="L34" s="5" t="s">
        <v>55</v>
      </c>
    </row>
    <row r="35" spans="1:10" ht="10.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4" ht="10.5">
      <c r="A36" s="46" t="s">
        <v>56</v>
      </c>
      <c r="B36" s="47" t="s">
        <v>57</v>
      </c>
      <c r="C36" s="44">
        <v>0.018</v>
      </c>
      <c r="D36" s="12">
        <f>'Текущие цены за единицу'!B7</f>
        <v>13673.45</v>
      </c>
      <c r="E36" s="12">
        <f>'Текущие цены за единицу'!D7</f>
        <v>10896.8</v>
      </c>
      <c r="F36" s="48">
        <f>'Текущие цены с учетом расхода'!B7</f>
        <v>246.12</v>
      </c>
      <c r="G36" s="48">
        <f>'Текущие цены с учетом расхода'!C7</f>
        <v>49.98</v>
      </c>
      <c r="H36" s="12">
        <f>'Текущие цены с учетом расхода'!D7</f>
        <v>196.14</v>
      </c>
      <c r="I36" s="14">
        <v>12.53</v>
      </c>
      <c r="J36" s="14">
        <f>'Текущие цены с учетом расхода'!I7</f>
        <v>0.22554</v>
      </c>
      <c r="K36" s="1" t="s">
        <v>29</v>
      </c>
      <c r="L36" s="1" t="s">
        <v>30</v>
      </c>
      <c r="N36" s="48">
        <f>'Текущие цены с учетом расхода'!F7</f>
        <v>0</v>
      </c>
    </row>
    <row r="37" spans="1:14" ht="43.5" customHeight="1">
      <c r="A37" s="44"/>
      <c r="B37" s="44"/>
      <c r="C37" s="44"/>
      <c r="D37" s="13">
        <f>'Текущие цены за единицу'!C7</f>
        <v>2776.65</v>
      </c>
      <c r="E37" s="13">
        <f>'Текущие цены за единицу'!E7</f>
        <v>870.11</v>
      </c>
      <c r="F37" s="48"/>
      <c r="G37" s="48"/>
      <c r="H37" s="13">
        <f>'Текущие цены с учетом расхода'!E7</f>
        <v>15.66</v>
      </c>
      <c r="I37" s="1">
        <v>3.04</v>
      </c>
      <c r="J37" s="1">
        <f>'Текущие цены с учетом расхода'!K7</f>
        <v>0.05472</v>
      </c>
      <c r="K37" s="1" t="s">
        <v>31</v>
      </c>
      <c r="L37" s="1" t="s">
        <v>32</v>
      </c>
      <c r="N37" s="48"/>
    </row>
    <row r="38" spans="2:6" ht="10.5" hidden="1">
      <c r="B38" s="16" t="s">
        <v>33</v>
      </c>
      <c r="F38" s="1">
        <v>49.98</v>
      </c>
    </row>
    <row r="39" spans="2:6" ht="10.5" hidden="1">
      <c r="B39" s="16" t="s">
        <v>34</v>
      </c>
      <c r="F39" s="1">
        <v>196.14</v>
      </c>
    </row>
    <row r="40" spans="2:6" ht="10.5" hidden="1">
      <c r="B40" s="16" t="s">
        <v>35</v>
      </c>
      <c r="F40" s="1">
        <v>15.66</v>
      </c>
    </row>
    <row r="41" ht="10.5" hidden="1">
      <c r="B41" s="16" t="s">
        <v>36</v>
      </c>
    </row>
    <row r="42" ht="21" hidden="1">
      <c r="B42" s="16" t="s">
        <v>37</v>
      </c>
    </row>
    <row r="43" spans="2:12" ht="21" hidden="1">
      <c r="B43" s="16" t="s">
        <v>38</v>
      </c>
      <c r="C43" s="17"/>
      <c r="K43" s="1" t="s">
        <v>39</v>
      </c>
      <c r="L43" s="1" t="s">
        <v>40</v>
      </c>
    </row>
    <row r="44" ht="10.5" hidden="1">
      <c r="B44" s="16" t="s">
        <v>41</v>
      </c>
    </row>
    <row r="45" ht="21" hidden="1">
      <c r="B45" s="16" t="s">
        <v>42</v>
      </c>
    </row>
    <row r="46" ht="10.5" hidden="1">
      <c r="B46" s="16" t="s">
        <v>43</v>
      </c>
    </row>
    <row r="47" spans="2:12" ht="10.5" hidden="1">
      <c r="B47" s="16" t="s">
        <v>44</v>
      </c>
      <c r="C47" s="1">
        <v>72.68</v>
      </c>
      <c r="F47" s="13">
        <f>IF('Текущие цены с учетом расхода'!N7&gt;0,'Текущие цены с учетом расхода'!N7,IF('Текущие цены с учетом расхода'!N7&lt;0,'Текущие цены с учетом расхода'!N7,""))</f>
        <v>47.71</v>
      </c>
      <c r="L47" s="5" t="s">
        <v>45</v>
      </c>
    </row>
    <row r="48" spans="2:12" ht="10.5" hidden="1">
      <c r="B48" s="16" t="s">
        <v>46</v>
      </c>
      <c r="C48" s="1">
        <v>72.68</v>
      </c>
      <c r="F48" s="13">
        <f>IF('Текущие цены с учетом расхода'!P7&gt;0,'Текущие цены с учетом расхода'!P7,IF('Текущие цены с учетом расхода'!P7&lt;0,'Текущие цены с учетом расхода'!P7,""))</f>
        <v>36.33</v>
      </c>
      <c r="L48" s="5" t="s">
        <v>47</v>
      </c>
    </row>
    <row r="49" spans="2:12" ht="10.5" hidden="1">
      <c r="B49" s="16" t="s">
        <v>48</v>
      </c>
      <c r="C49" s="1">
        <v>72.68</v>
      </c>
      <c r="F49" s="13">
        <f>IF('Текущие цены с учетом расхода'!Q7&gt;0,'Текущие цены с учетом расхода'!Q7,IF('Текущие цены с учетом расхода'!Q7&lt;0,'Текущие цены с учетом расхода'!Q7,""))</f>
        <v>11.38</v>
      </c>
      <c r="L49" s="5" t="s">
        <v>49</v>
      </c>
    </row>
    <row r="50" spans="2:12" ht="10.5" hidden="1">
      <c r="B50" s="16" t="s">
        <v>50</v>
      </c>
      <c r="C50" s="1">
        <v>34</v>
      </c>
      <c r="F50" s="13">
        <f>IF('Текущие цены с учетом расхода'!O7&gt;0,'Текущие цены с учетом расхода'!O7,IF('Текущие цены с учетом расхода'!O7&lt;0,'Текущие цены с учетом расхода'!O7,""))</f>
        <v>22.32</v>
      </c>
      <c r="L50" s="5" t="s">
        <v>51</v>
      </c>
    </row>
    <row r="51" spans="2:12" ht="10.5" hidden="1">
      <c r="B51" s="16" t="s">
        <v>52</v>
      </c>
      <c r="C51" s="1">
        <v>34</v>
      </c>
      <c r="F51" s="13">
        <f>IF('Текущие цены с учетом расхода'!R7&gt;0,'Текущие цены с учетом расхода'!R7,IF('Текущие цены с учетом расхода'!R7&lt;0,'Текущие цены с учетом расхода'!R7,""))</f>
        <v>16.99</v>
      </c>
      <c r="L51" s="5" t="s">
        <v>53</v>
      </c>
    </row>
    <row r="52" spans="2:12" ht="10.5" hidden="1">
      <c r="B52" s="16" t="s">
        <v>54</v>
      </c>
      <c r="C52" s="1">
        <v>34</v>
      </c>
      <c r="F52" s="13">
        <f>IF('Текущие цены с учетом расхода'!S7&gt;0,'Текущие цены с учетом расхода'!S7,IF('Текущие цены с учетом расхода'!S7&lt;0,'Текущие цены с учетом расхода'!S7,""))</f>
        <v>5.33</v>
      </c>
      <c r="L52" s="5" t="s">
        <v>55</v>
      </c>
    </row>
    <row r="53" spans="1:10" ht="10.5">
      <c r="A53" s="18"/>
      <c r="B53" s="18"/>
      <c r="C53" s="18"/>
      <c r="D53" s="18"/>
      <c r="E53" s="18"/>
      <c r="F53" s="18"/>
      <c r="G53" s="18"/>
      <c r="H53" s="18"/>
      <c r="I53" s="18"/>
      <c r="J53" s="18"/>
    </row>
    <row r="54" spans="1:14" ht="10.5">
      <c r="A54" s="46" t="s">
        <v>58</v>
      </c>
      <c r="B54" s="47" t="s">
        <v>59</v>
      </c>
      <c r="C54" s="44">
        <v>3.06</v>
      </c>
      <c r="D54" s="12">
        <f>'Текущие цены за единицу'!B8</f>
        <v>262.62</v>
      </c>
      <c r="E54" s="12">
        <f>'Текущие цены за единицу'!D8</f>
        <v>262.62</v>
      </c>
      <c r="F54" s="48">
        <f>'Текущие цены с учетом расхода'!B8</f>
        <v>803.62</v>
      </c>
      <c r="G54" s="48">
        <f>'Текущие цены с учетом расхода'!C8</f>
        <v>0</v>
      </c>
      <c r="H54" s="12">
        <f>'Текущие цены с учетом расхода'!D8</f>
        <v>803.62</v>
      </c>
      <c r="I54" s="14"/>
      <c r="J54" s="14">
        <f>'Текущие цены с учетом расхода'!I8</f>
        <v>0</v>
      </c>
      <c r="K54" s="1" t="s">
        <v>29</v>
      </c>
      <c r="L54" s="1" t="s">
        <v>30</v>
      </c>
      <c r="N54" s="48">
        <f>'Текущие цены с учетом расхода'!F8</f>
        <v>0</v>
      </c>
    </row>
    <row r="55" spans="1:14" ht="54.75" customHeight="1">
      <c r="A55" s="44"/>
      <c r="B55" s="44"/>
      <c r="C55" s="44"/>
      <c r="D55" s="13">
        <f>'Текущие цены за единицу'!C8</f>
        <v>0</v>
      </c>
      <c r="E55" s="13">
        <f>'Текущие цены за единицу'!E8</f>
        <v>0</v>
      </c>
      <c r="F55" s="48"/>
      <c r="G55" s="48"/>
      <c r="H55" s="13">
        <f>'Текущие цены с учетом расхода'!E8</f>
        <v>0</v>
      </c>
      <c r="J55" s="1">
        <f>'Текущие цены с учетом расхода'!K8</f>
        <v>0</v>
      </c>
      <c r="K55" s="1" t="s">
        <v>31</v>
      </c>
      <c r="L55" s="1" t="s">
        <v>32</v>
      </c>
      <c r="N55" s="48"/>
    </row>
    <row r="56" ht="10.5">
      <c r="B56" s="15" t="str">
        <f>IF(ROUND((1.7*1.8)/1,9)=C54,"Объем: 1,7*1,8","")</f>
        <v>Объем: 1,7*1,8</v>
      </c>
    </row>
    <row r="57" ht="10.5" hidden="1">
      <c r="B57" s="16" t="s">
        <v>33</v>
      </c>
    </row>
    <row r="58" spans="2:6" ht="10.5" hidden="1">
      <c r="B58" s="16" t="s">
        <v>34</v>
      </c>
      <c r="F58" s="1">
        <v>803.62</v>
      </c>
    </row>
    <row r="59" ht="10.5" hidden="1">
      <c r="B59" s="16" t="s">
        <v>35</v>
      </c>
    </row>
    <row r="60" ht="10.5" hidden="1">
      <c r="B60" s="16" t="s">
        <v>36</v>
      </c>
    </row>
    <row r="61" ht="21" hidden="1">
      <c r="B61" s="16" t="s">
        <v>37</v>
      </c>
    </row>
    <row r="62" spans="2:12" ht="21" hidden="1">
      <c r="B62" s="16" t="s">
        <v>38</v>
      </c>
      <c r="C62" s="17"/>
      <c r="K62" s="1" t="s">
        <v>39</v>
      </c>
      <c r="L62" s="1" t="s">
        <v>40</v>
      </c>
    </row>
    <row r="63" ht="10.5" hidden="1">
      <c r="B63" s="16" t="s">
        <v>41</v>
      </c>
    </row>
    <row r="64" ht="21" hidden="1">
      <c r="B64" s="16" t="s">
        <v>42</v>
      </c>
    </row>
    <row r="65" ht="10.5" hidden="1">
      <c r="B65" s="16" t="s">
        <v>43</v>
      </c>
    </row>
    <row r="66" spans="2:12" ht="10.5" hidden="1">
      <c r="B66" s="16" t="s">
        <v>60</v>
      </c>
      <c r="F66" s="13">
        <f>IF('Текущие цены с учетом расхода'!AF8&gt;0,'Текущие цены с учетом расхода'!AF8,IF('Текущие цены с учетом расхода'!AF8&lt;0,'Текущие цены с учетом расхода'!AF8,""))</f>
      </c>
      <c r="L66" s="5" t="s">
        <v>45</v>
      </c>
    </row>
    <row r="67" spans="2:12" ht="10.5" hidden="1">
      <c r="B67" s="16" t="s">
        <v>46</v>
      </c>
      <c r="F67" s="13">
        <f>IF('Текущие цены с учетом расхода'!P8&gt;0,'Текущие цены с учетом расхода'!P8,IF('Текущие цены с учетом расхода'!P8&lt;0,'Текущие цены с учетом расхода'!P8,""))</f>
      </c>
      <c r="L67" s="5" t="s">
        <v>47</v>
      </c>
    </row>
    <row r="68" spans="2:12" ht="10.5" hidden="1">
      <c r="B68" s="16" t="s">
        <v>48</v>
      </c>
      <c r="F68" s="13">
        <f>IF('Текущие цены с учетом расхода'!Q8&gt;0,'Текущие цены с учетом расхода'!Q8,IF('Текущие цены с учетом расхода'!Q8&lt;0,'Текущие цены с учетом расхода'!Q8,""))</f>
      </c>
      <c r="L68" s="5" t="s">
        <v>49</v>
      </c>
    </row>
    <row r="69" spans="2:12" ht="10.5" hidden="1">
      <c r="B69" s="16" t="s">
        <v>61</v>
      </c>
      <c r="F69" s="13">
        <f>IF('Текущие цены с учетом расхода'!AG8&gt;0,'Текущие цены с учетом расхода'!AG8,IF('Текущие цены с учетом расхода'!AG8&lt;0,'Текущие цены с учетом расхода'!AG8,""))</f>
      </c>
      <c r="L69" s="5" t="s">
        <v>51</v>
      </c>
    </row>
    <row r="70" spans="2:12" ht="10.5" hidden="1">
      <c r="B70" s="16" t="s">
        <v>52</v>
      </c>
      <c r="F70" s="13">
        <f>IF('Текущие цены с учетом расхода'!R8&gt;0,'Текущие цены с учетом расхода'!R8,IF('Текущие цены с учетом расхода'!R8&lt;0,'Текущие цены с учетом расхода'!R8,""))</f>
      </c>
      <c r="L70" s="5" t="s">
        <v>53</v>
      </c>
    </row>
    <row r="71" spans="2:12" ht="10.5" hidden="1">
      <c r="B71" s="16" t="s">
        <v>54</v>
      </c>
      <c r="F71" s="13">
        <f>IF('Текущие цены с учетом расхода'!S8&gt;0,'Текущие цены с учетом расхода'!S8,IF('Текущие цены с учетом расхода'!S8&lt;0,'Текущие цены с учетом расхода'!S8,""))</f>
      </c>
      <c r="L71" s="5" t="s">
        <v>55</v>
      </c>
    </row>
    <row r="72" spans="1:10" ht="10.5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4" ht="10.5">
      <c r="A73" s="46" t="s">
        <v>62</v>
      </c>
      <c r="B73" s="47" t="s">
        <v>63</v>
      </c>
      <c r="C73" s="44">
        <v>0.0168</v>
      </c>
      <c r="D73" s="12">
        <f>'Текущие цены за единицу'!B9</f>
        <v>82399.73</v>
      </c>
      <c r="E73" s="12">
        <f>'Текущие цены за единицу'!D9</f>
        <v>49611.13</v>
      </c>
      <c r="F73" s="48">
        <f>'Текущие цены с учетом расхода'!B9</f>
        <v>1384.32</v>
      </c>
      <c r="G73" s="48">
        <f>'Текущие цены с учетом расхода'!C9</f>
        <v>550.85</v>
      </c>
      <c r="H73" s="12">
        <f>'Текущие цены с учетом расхода'!D9</f>
        <v>833.47</v>
      </c>
      <c r="I73" s="14">
        <v>137.64</v>
      </c>
      <c r="J73" s="14">
        <f>'Текущие цены с учетом расхода'!I9</f>
        <v>2.312352</v>
      </c>
      <c r="K73" s="1" t="s">
        <v>29</v>
      </c>
      <c r="L73" s="1" t="s">
        <v>30</v>
      </c>
      <c r="N73" s="48">
        <f>'Текущие цены с учетом расхода'!F9</f>
        <v>0</v>
      </c>
    </row>
    <row r="74" spans="1:14" ht="43.5" customHeight="1">
      <c r="A74" s="44"/>
      <c r="B74" s="44"/>
      <c r="C74" s="44"/>
      <c r="D74" s="13">
        <f>'Текущие цены за единицу'!C9</f>
        <v>32788.6</v>
      </c>
      <c r="E74" s="13">
        <f>'Текущие цены за единицу'!E9</f>
        <v>12052.72</v>
      </c>
      <c r="F74" s="48"/>
      <c r="G74" s="48"/>
      <c r="H74" s="13">
        <f>'Текущие цены с учетом расхода'!E9</f>
        <v>202.49</v>
      </c>
      <c r="I74" s="1">
        <v>42.11</v>
      </c>
      <c r="J74" s="1">
        <f>'Текущие цены с учетом расхода'!K9</f>
        <v>0.707448</v>
      </c>
      <c r="K74" s="1" t="s">
        <v>31</v>
      </c>
      <c r="L74" s="1" t="s">
        <v>32</v>
      </c>
      <c r="N74" s="48"/>
    </row>
    <row r="75" ht="10.5">
      <c r="B75" s="15" t="str">
        <f>IF(ROUND((1*1.68)/100,9)=C73,"Объем: 1*1,68","")</f>
        <v>Объем: 1*1,68</v>
      </c>
    </row>
    <row r="76" spans="2:6" ht="10.5" hidden="1">
      <c r="B76" s="16" t="s">
        <v>33</v>
      </c>
      <c r="F76" s="1">
        <v>550.85</v>
      </c>
    </row>
    <row r="77" spans="2:6" ht="10.5" hidden="1">
      <c r="B77" s="16" t="s">
        <v>34</v>
      </c>
      <c r="F77" s="1">
        <v>833.47</v>
      </c>
    </row>
    <row r="78" spans="2:6" ht="10.5" hidden="1">
      <c r="B78" s="16" t="s">
        <v>35</v>
      </c>
      <c r="F78" s="1">
        <v>202.49</v>
      </c>
    </row>
    <row r="79" ht="10.5" hidden="1">
      <c r="B79" s="16" t="s">
        <v>36</v>
      </c>
    </row>
    <row r="80" ht="21" hidden="1">
      <c r="B80" s="16" t="s">
        <v>37</v>
      </c>
    </row>
    <row r="81" spans="2:12" ht="21" hidden="1">
      <c r="B81" s="16" t="s">
        <v>38</v>
      </c>
      <c r="C81" s="17"/>
      <c r="K81" s="1" t="s">
        <v>39</v>
      </c>
      <c r="L81" s="1" t="s">
        <v>40</v>
      </c>
    </row>
    <row r="82" ht="10.5" hidden="1">
      <c r="B82" s="16" t="s">
        <v>41</v>
      </c>
    </row>
    <row r="83" ht="21" hidden="1">
      <c r="B83" s="16" t="s">
        <v>42</v>
      </c>
    </row>
    <row r="84" ht="10.5" hidden="1">
      <c r="B84" s="16" t="s">
        <v>43</v>
      </c>
    </row>
    <row r="85" spans="2:12" ht="10.5" hidden="1">
      <c r="B85" s="16" t="s">
        <v>44</v>
      </c>
      <c r="C85" s="1">
        <v>108.63</v>
      </c>
      <c r="F85" s="13">
        <f>IF('Текущие цены с учетом расхода'!N9&gt;0,'Текущие цены с учетом расхода'!N9,IF('Текущие цены с учетом расхода'!N9&lt;0,'Текущие цены с учетом расхода'!N9,""))</f>
        <v>818.35</v>
      </c>
      <c r="L85" s="5" t="s">
        <v>45</v>
      </c>
    </row>
    <row r="86" spans="2:12" ht="10.5" hidden="1">
      <c r="B86" s="16" t="s">
        <v>46</v>
      </c>
      <c r="C86" s="1">
        <v>108.63</v>
      </c>
      <c r="F86" s="13">
        <f>IF('Текущие цены с учетом расхода'!P9&gt;0,'Текущие цены с учетом расхода'!P9,IF('Текущие цены с учетом расхода'!P9&lt;0,'Текущие цены с учетом расхода'!P9,""))</f>
        <v>598.39</v>
      </c>
      <c r="L86" s="5" t="s">
        <v>47</v>
      </c>
    </row>
    <row r="87" spans="2:12" ht="10.5" hidden="1">
      <c r="B87" s="16" t="s">
        <v>48</v>
      </c>
      <c r="C87" s="1">
        <v>108.63</v>
      </c>
      <c r="F87" s="13">
        <f>IF('Текущие цены с учетом расхода'!Q9&gt;0,'Текущие цены с учетом расхода'!Q9,IF('Текущие цены с учетом расхода'!Q9&lt;0,'Текущие цены с учетом расхода'!Q9,""))</f>
        <v>219.96</v>
      </c>
      <c r="L87" s="5" t="s">
        <v>49</v>
      </c>
    </row>
    <row r="88" spans="2:12" ht="10.5" hidden="1">
      <c r="B88" s="16" t="s">
        <v>50</v>
      </c>
      <c r="C88" s="1">
        <v>64.6</v>
      </c>
      <c r="F88" s="13">
        <f>IF('Текущие цены с учетом расхода'!O9&gt;0,'Текущие цены с учетом расхода'!O9,IF('Текущие цены с учетом расхода'!O9&lt;0,'Текущие цены с учетом расхода'!O9,""))</f>
        <v>486.66</v>
      </c>
      <c r="L88" s="5" t="s">
        <v>51</v>
      </c>
    </row>
    <row r="89" spans="2:12" ht="10.5" hidden="1">
      <c r="B89" s="16" t="s">
        <v>52</v>
      </c>
      <c r="C89" s="1">
        <v>64.6</v>
      </c>
      <c r="F89" s="13">
        <f>IF('Текущие цены с учетом расхода'!R9&gt;0,'Текущие цены с учетом расхода'!R9,IF('Текущие цены с учетом расхода'!R9&lt;0,'Текущие цены с учетом расхода'!R9,""))</f>
        <v>355.85</v>
      </c>
      <c r="L89" s="5" t="s">
        <v>53</v>
      </c>
    </row>
    <row r="90" spans="2:12" ht="10.5" hidden="1">
      <c r="B90" s="16" t="s">
        <v>54</v>
      </c>
      <c r="C90" s="1">
        <v>64.6</v>
      </c>
      <c r="F90" s="13">
        <f>IF('Текущие цены с учетом расхода'!S9&gt;0,'Текущие цены с учетом расхода'!S9,IF('Текущие цены с учетом расхода'!S9&lt;0,'Текущие цены с учетом расхода'!S9,""))</f>
        <v>130.81</v>
      </c>
      <c r="L90" s="5" t="s">
        <v>55</v>
      </c>
    </row>
    <row r="91" spans="1:10" ht="10.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4" ht="10.5">
      <c r="A92" s="46" t="s">
        <v>64</v>
      </c>
      <c r="B92" s="47" t="s">
        <v>65</v>
      </c>
      <c r="C92" s="44">
        <v>1</v>
      </c>
      <c r="D92" s="12">
        <f>'Текущие цены за единицу'!B10</f>
        <v>17000</v>
      </c>
      <c r="E92" s="12">
        <f>'Текущие цены за единицу'!D10</f>
        <v>0</v>
      </c>
      <c r="F92" s="48">
        <f>'Текущие цены с учетом расхода'!B10</f>
        <v>17000</v>
      </c>
      <c r="G92" s="48">
        <f>'Текущие цены с учетом расхода'!C10</f>
        <v>0</v>
      </c>
      <c r="H92" s="12">
        <f>'Текущие цены с учетом расхода'!D10</f>
        <v>0</v>
      </c>
      <c r="I92" s="14"/>
      <c r="J92" s="14">
        <f>'Текущие цены с учетом расхода'!I10</f>
        <v>0</v>
      </c>
      <c r="K92" s="1" t="s">
        <v>29</v>
      </c>
      <c r="L92" s="1" t="s">
        <v>30</v>
      </c>
      <c r="N92" s="48">
        <f>'Текущие цены с учетом расхода'!F10</f>
        <v>17000</v>
      </c>
    </row>
    <row r="93" spans="1:14" ht="21.75" customHeight="1">
      <c r="A93" s="44"/>
      <c r="B93" s="44"/>
      <c r="C93" s="44"/>
      <c r="D93" s="13">
        <f>'Текущие цены за единицу'!C10</f>
        <v>0</v>
      </c>
      <c r="E93" s="13">
        <f>'Текущие цены за единицу'!E10</f>
        <v>0</v>
      </c>
      <c r="F93" s="48"/>
      <c r="G93" s="48"/>
      <c r="H93" s="13">
        <f>'Текущие цены с учетом расхода'!E10</f>
        <v>0</v>
      </c>
      <c r="J93" s="1">
        <f>'Текущие цены с учетом расхода'!K10</f>
        <v>0</v>
      </c>
      <c r="K93" s="1" t="s">
        <v>31</v>
      </c>
      <c r="L93" s="1" t="s">
        <v>32</v>
      </c>
      <c r="N93" s="48"/>
    </row>
    <row r="94" ht="10.5" hidden="1">
      <c r="B94" s="16" t="s">
        <v>33</v>
      </c>
    </row>
    <row r="95" ht="10.5" hidden="1">
      <c r="B95" s="16" t="s">
        <v>34</v>
      </c>
    </row>
    <row r="96" ht="10.5" hidden="1">
      <c r="B96" s="16" t="s">
        <v>35</v>
      </c>
    </row>
    <row r="97" spans="2:6" ht="10.5" hidden="1">
      <c r="B97" s="16" t="s">
        <v>36</v>
      </c>
      <c r="F97" s="1">
        <v>17000</v>
      </c>
    </row>
    <row r="98" ht="21" hidden="1">
      <c r="B98" s="16" t="s">
        <v>37</v>
      </c>
    </row>
    <row r="99" spans="2:12" ht="21" hidden="1">
      <c r="B99" s="16" t="s">
        <v>38</v>
      </c>
      <c r="C99" s="17"/>
      <c r="K99" s="1" t="s">
        <v>39</v>
      </c>
      <c r="L99" s="1" t="s">
        <v>40</v>
      </c>
    </row>
    <row r="100" ht="10.5" hidden="1">
      <c r="B100" s="16" t="s">
        <v>41</v>
      </c>
    </row>
    <row r="101" ht="21" hidden="1">
      <c r="B101" s="16" t="s">
        <v>42</v>
      </c>
    </row>
    <row r="102" ht="10.5" hidden="1">
      <c r="B102" s="16" t="s">
        <v>43</v>
      </c>
    </row>
    <row r="103" spans="2:12" ht="10.5" hidden="1">
      <c r="B103" s="16" t="s">
        <v>44</v>
      </c>
      <c r="F103" s="13">
        <f>IF('Текущие цены с учетом расхода'!N10&gt;0,'Текущие цены с учетом расхода'!N10,IF('Текущие цены с учетом расхода'!N10&lt;0,'Текущие цены с учетом расхода'!N10,""))</f>
      </c>
      <c r="L103" s="5" t="s">
        <v>45</v>
      </c>
    </row>
    <row r="104" spans="2:12" ht="10.5" hidden="1">
      <c r="B104" s="16" t="s">
        <v>46</v>
      </c>
      <c r="F104" s="13">
        <f>IF('Текущие цены с учетом расхода'!P10&gt;0,'Текущие цены с учетом расхода'!P10,IF('Текущие цены с учетом расхода'!P10&lt;0,'Текущие цены с учетом расхода'!P10,""))</f>
      </c>
      <c r="L104" s="5" t="s">
        <v>47</v>
      </c>
    </row>
    <row r="105" spans="2:12" ht="10.5" hidden="1">
      <c r="B105" s="16" t="s">
        <v>48</v>
      </c>
      <c r="F105" s="13">
        <f>IF('Текущие цены с учетом расхода'!Q10&gt;0,'Текущие цены с учетом расхода'!Q10,IF('Текущие цены с учетом расхода'!Q10&lt;0,'Текущие цены с учетом расхода'!Q10,""))</f>
      </c>
      <c r="L105" s="5" t="s">
        <v>49</v>
      </c>
    </row>
    <row r="106" spans="2:12" ht="10.5" hidden="1">
      <c r="B106" s="16" t="s">
        <v>50</v>
      </c>
      <c r="F106" s="13">
        <f>IF('Текущие цены с учетом расхода'!O10&gt;0,'Текущие цены с учетом расхода'!O10,IF('Текущие цены с учетом расхода'!O10&lt;0,'Текущие цены с учетом расхода'!O10,""))</f>
      </c>
      <c r="L106" s="5" t="s">
        <v>51</v>
      </c>
    </row>
    <row r="107" spans="2:12" ht="10.5" hidden="1">
      <c r="B107" s="16" t="s">
        <v>52</v>
      </c>
      <c r="F107" s="13">
        <f>IF('Текущие цены с учетом расхода'!R10&gt;0,'Текущие цены с учетом расхода'!R10,IF('Текущие цены с учетом расхода'!R10&lt;0,'Текущие цены с учетом расхода'!R10,""))</f>
      </c>
      <c r="L107" s="5" t="s">
        <v>53</v>
      </c>
    </row>
    <row r="108" spans="2:12" ht="10.5" hidden="1">
      <c r="B108" s="16" t="s">
        <v>54</v>
      </c>
      <c r="F108" s="13">
        <f>IF('Текущие цены с учетом расхода'!S10&gt;0,'Текущие цены с учетом расхода'!S10,IF('Текущие цены с учетом расхода'!S10&lt;0,'Текущие цены с учетом расхода'!S10,""))</f>
      </c>
      <c r="L108" s="5" t="s">
        <v>55</v>
      </c>
    </row>
    <row r="109" spans="1:10" ht="10.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4" ht="10.5">
      <c r="A110" s="46" t="s">
        <v>66</v>
      </c>
      <c r="B110" s="47" t="s">
        <v>67</v>
      </c>
      <c r="C110" s="44">
        <v>4.5</v>
      </c>
      <c r="D110" s="12">
        <f>'Текущие цены за единицу'!B11</f>
        <v>476.3</v>
      </c>
      <c r="E110" s="12">
        <f>'Текущие цены за единицу'!D11</f>
        <v>476.3</v>
      </c>
      <c r="F110" s="48">
        <f>'Текущие цены с учетом расхода'!B11</f>
        <v>2143.35</v>
      </c>
      <c r="G110" s="48">
        <f>'Текущие цены с учетом расхода'!C11</f>
        <v>0</v>
      </c>
      <c r="H110" s="12">
        <f>'Текущие цены с учетом расхода'!D11</f>
        <v>2143.35</v>
      </c>
      <c r="I110" s="14"/>
      <c r="J110" s="14">
        <f>'Текущие цены с учетом расхода'!I11</f>
        <v>0</v>
      </c>
      <c r="K110" s="1" t="s">
        <v>29</v>
      </c>
      <c r="L110" s="1" t="s">
        <v>30</v>
      </c>
      <c r="N110" s="48">
        <f>'Текущие цены с учетом расхода'!F11</f>
        <v>0</v>
      </c>
    </row>
    <row r="111" spans="1:14" ht="43.5" customHeight="1">
      <c r="A111" s="44"/>
      <c r="B111" s="44"/>
      <c r="C111" s="44"/>
      <c r="D111" s="13">
        <f>'Текущие цены за единицу'!C11</f>
        <v>0</v>
      </c>
      <c r="E111" s="13">
        <f>'Текущие цены за единицу'!E11</f>
        <v>0</v>
      </c>
      <c r="F111" s="48"/>
      <c r="G111" s="48"/>
      <c r="H111" s="13">
        <f>'Текущие цены с учетом расхода'!E11</f>
        <v>0</v>
      </c>
      <c r="J111" s="1">
        <f>'Текущие цены с учетом расхода'!K11</f>
        <v>0</v>
      </c>
      <c r="K111" s="1" t="s">
        <v>31</v>
      </c>
      <c r="L111" s="1" t="s">
        <v>32</v>
      </c>
      <c r="N111" s="48"/>
    </row>
    <row r="112" ht="10.5" hidden="1">
      <c r="B112" s="16" t="s">
        <v>33</v>
      </c>
    </row>
    <row r="113" spans="2:6" ht="10.5" hidden="1">
      <c r="B113" s="16" t="s">
        <v>34</v>
      </c>
      <c r="F113" s="1">
        <v>2143.35</v>
      </c>
    </row>
    <row r="114" ht="10.5" hidden="1">
      <c r="B114" s="16" t="s">
        <v>35</v>
      </c>
    </row>
    <row r="115" ht="10.5" hidden="1">
      <c r="B115" s="16" t="s">
        <v>36</v>
      </c>
    </row>
    <row r="116" ht="21" hidden="1">
      <c r="B116" s="16" t="s">
        <v>37</v>
      </c>
    </row>
    <row r="117" spans="2:12" ht="21" hidden="1">
      <c r="B117" s="16" t="s">
        <v>38</v>
      </c>
      <c r="C117" s="17"/>
      <c r="K117" s="1" t="s">
        <v>39</v>
      </c>
      <c r="L117" s="1" t="s">
        <v>40</v>
      </c>
    </row>
    <row r="118" ht="10.5" hidden="1">
      <c r="B118" s="16" t="s">
        <v>41</v>
      </c>
    </row>
    <row r="119" ht="21" hidden="1">
      <c r="B119" s="16" t="s">
        <v>42</v>
      </c>
    </row>
    <row r="120" ht="10.5" hidden="1">
      <c r="B120" s="16" t="s">
        <v>43</v>
      </c>
    </row>
    <row r="121" spans="2:12" ht="10.5" hidden="1">
      <c r="B121" s="16" t="s">
        <v>60</v>
      </c>
      <c r="F121" s="13">
        <f>IF('Текущие цены с учетом расхода'!AF11&gt;0,'Текущие цены с учетом расхода'!AF11,IF('Текущие цены с учетом расхода'!AF11&lt;0,'Текущие цены с учетом расхода'!AF11,""))</f>
      </c>
      <c r="L121" s="5" t="s">
        <v>45</v>
      </c>
    </row>
    <row r="122" spans="2:12" ht="10.5" hidden="1">
      <c r="B122" s="16" t="s">
        <v>46</v>
      </c>
      <c r="F122" s="13">
        <f>IF('Текущие цены с учетом расхода'!P11&gt;0,'Текущие цены с учетом расхода'!P11,IF('Текущие цены с учетом расхода'!P11&lt;0,'Текущие цены с учетом расхода'!P11,""))</f>
      </c>
      <c r="L122" s="5" t="s">
        <v>47</v>
      </c>
    </row>
    <row r="123" spans="2:12" ht="10.5" hidden="1">
      <c r="B123" s="16" t="s">
        <v>48</v>
      </c>
      <c r="F123" s="13">
        <f>IF('Текущие цены с учетом расхода'!Q11&gt;0,'Текущие цены с учетом расхода'!Q11,IF('Текущие цены с учетом расхода'!Q11&lt;0,'Текущие цены с учетом расхода'!Q11,""))</f>
      </c>
      <c r="L123" s="5" t="s">
        <v>49</v>
      </c>
    </row>
    <row r="124" spans="2:12" ht="10.5" hidden="1">
      <c r="B124" s="16" t="s">
        <v>61</v>
      </c>
      <c r="F124" s="13">
        <f>IF('Текущие цены с учетом расхода'!AG11&gt;0,'Текущие цены с учетом расхода'!AG11,IF('Текущие цены с учетом расхода'!AG11&lt;0,'Текущие цены с учетом расхода'!AG11,""))</f>
      </c>
      <c r="L124" s="5" t="s">
        <v>51</v>
      </c>
    </row>
    <row r="125" spans="2:12" ht="10.5" hidden="1">
      <c r="B125" s="16" t="s">
        <v>52</v>
      </c>
      <c r="F125" s="13">
        <f>IF('Текущие цены с учетом расхода'!R11&gt;0,'Текущие цены с учетом расхода'!R11,IF('Текущие цены с учетом расхода'!R11&lt;0,'Текущие цены с учетом расхода'!R11,""))</f>
      </c>
      <c r="L125" s="5" t="s">
        <v>53</v>
      </c>
    </row>
    <row r="126" spans="2:12" ht="10.5" hidden="1">
      <c r="B126" s="16" t="s">
        <v>54</v>
      </c>
      <c r="F126" s="13">
        <f>IF('Текущие цены с учетом расхода'!S11&gt;0,'Текущие цены с учетом расхода'!S11,IF('Текущие цены с учетом расхода'!S11&lt;0,'Текущие цены с учетом расхода'!S11,""))</f>
      </c>
      <c r="L126" s="5" t="s">
        <v>55</v>
      </c>
    </row>
    <row r="127" spans="1:10" ht="10.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4" ht="10.5">
      <c r="A128" s="46" t="s">
        <v>68</v>
      </c>
      <c r="B128" s="47" t="s">
        <v>69</v>
      </c>
      <c r="C128" s="44">
        <v>0.0911</v>
      </c>
      <c r="D128" s="12">
        <f>'Текущие цены за единицу'!B12</f>
        <v>10780.35</v>
      </c>
      <c r="E128" s="12">
        <f>'Текущие цены за единицу'!D12</f>
        <v>3098.22</v>
      </c>
      <c r="F128" s="48">
        <f>'Текущие цены с учетом расхода'!B12</f>
        <v>982.09</v>
      </c>
      <c r="G128" s="48">
        <f>'Текущие цены с учетом расхода'!C12</f>
        <v>430.36</v>
      </c>
      <c r="H128" s="12">
        <f>'Текущие цены с учетом расхода'!D12</f>
        <v>282.25</v>
      </c>
      <c r="I128" s="14">
        <v>19.38</v>
      </c>
      <c r="J128" s="14">
        <f>'Текущие цены с учетом расхода'!I12</f>
        <v>1.765518</v>
      </c>
      <c r="K128" s="1" t="s">
        <v>29</v>
      </c>
      <c r="L128" s="1" t="s">
        <v>30</v>
      </c>
      <c r="N128" s="48">
        <f>'Текущие цены с учетом расхода'!F12</f>
        <v>269.48</v>
      </c>
    </row>
    <row r="129" spans="1:14" ht="43.5" customHeight="1">
      <c r="A129" s="44"/>
      <c r="B129" s="44"/>
      <c r="C129" s="44"/>
      <c r="D129" s="13">
        <f>'Текущие цены за единицу'!C12</f>
        <v>4724.07</v>
      </c>
      <c r="E129" s="13">
        <f>'Текущие цены за единицу'!E12</f>
        <v>420.74</v>
      </c>
      <c r="F129" s="48"/>
      <c r="G129" s="48"/>
      <c r="H129" s="13">
        <f>'Текущие цены с учетом расхода'!E12</f>
        <v>38.33</v>
      </c>
      <c r="I129" s="1">
        <v>1.47</v>
      </c>
      <c r="J129" s="1">
        <f>'Текущие цены с учетом расхода'!K12</f>
        <v>0.133917</v>
      </c>
      <c r="K129" s="1" t="s">
        <v>31</v>
      </c>
      <c r="L129" s="1" t="s">
        <v>32</v>
      </c>
      <c r="N129" s="48"/>
    </row>
    <row r="130" ht="10.5">
      <c r="B130" s="15" t="str">
        <f>IF(ROUND((25*0.003644)/1,9)=C128,"Объем: 25*0,003644","")</f>
        <v>Объем: 25*0,003644</v>
      </c>
    </row>
    <row r="131" spans="2:6" ht="10.5" hidden="1">
      <c r="B131" s="16" t="s">
        <v>33</v>
      </c>
      <c r="F131" s="1">
        <v>430.36</v>
      </c>
    </row>
    <row r="132" spans="2:6" ht="10.5" hidden="1">
      <c r="B132" s="16" t="s">
        <v>34</v>
      </c>
      <c r="F132" s="1">
        <v>282.25</v>
      </c>
    </row>
    <row r="133" spans="2:6" ht="10.5" hidden="1">
      <c r="B133" s="16" t="s">
        <v>35</v>
      </c>
      <c r="F133" s="1">
        <v>38.33</v>
      </c>
    </row>
    <row r="134" spans="2:6" ht="10.5" hidden="1">
      <c r="B134" s="16" t="s">
        <v>36</v>
      </c>
      <c r="F134" s="1">
        <v>269.48</v>
      </c>
    </row>
    <row r="135" ht="21" hidden="1">
      <c r="B135" s="16" t="s">
        <v>37</v>
      </c>
    </row>
    <row r="136" spans="2:12" ht="21" hidden="1">
      <c r="B136" s="16" t="s">
        <v>38</v>
      </c>
      <c r="C136" s="17"/>
      <c r="K136" s="1" t="s">
        <v>39</v>
      </c>
      <c r="L136" s="1" t="s">
        <v>40</v>
      </c>
    </row>
    <row r="137" ht="10.5" hidden="1">
      <c r="B137" s="16" t="s">
        <v>41</v>
      </c>
    </row>
    <row r="138" ht="21" hidden="1">
      <c r="B138" s="16" t="s">
        <v>42</v>
      </c>
    </row>
    <row r="139" ht="10.5" hidden="1">
      <c r="B139" s="16" t="s">
        <v>43</v>
      </c>
    </row>
    <row r="140" spans="2:12" ht="10.5" hidden="1">
      <c r="B140" s="16" t="s">
        <v>44</v>
      </c>
      <c r="C140" s="1">
        <v>68.85</v>
      </c>
      <c r="F140" s="13">
        <f>IF('Текущие цены с учетом расхода'!N12&gt;0,'Текущие цены с учетом расхода'!N12,IF('Текущие цены с учетом расхода'!N12&lt;0,'Текущие цены с учетом расхода'!N12,""))</f>
        <v>322.69</v>
      </c>
      <c r="L140" s="5" t="s">
        <v>45</v>
      </c>
    </row>
    <row r="141" spans="2:12" ht="10.5" hidden="1">
      <c r="B141" s="16" t="s">
        <v>46</v>
      </c>
      <c r="C141" s="1">
        <v>68.85</v>
      </c>
      <c r="F141" s="13">
        <f>IF('Текущие цены с учетом расхода'!P12&gt;0,'Текущие цены с учетом расхода'!P12,IF('Текущие цены с учетом расхода'!P12&lt;0,'Текущие цены с учетом расхода'!P12,""))</f>
        <v>296.3</v>
      </c>
      <c r="L141" s="5" t="s">
        <v>47</v>
      </c>
    </row>
    <row r="142" spans="2:12" ht="10.5" hidden="1">
      <c r="B142" s="16" t="s">
        <v>48</v>
      </c>
      <c r="C142" s="1">
        <v>68.85</v>
      </c>
      <c r="F142" s="13">
        <f>IF('Текущие цены с учетом расхода'!Q12&gt;0,'Текущие цены с учетом расхода'!Q12,IF('Текущие цены с учетом расхода'!Q12&lt;0,'Текущие цены с учетом расхода'!Q12,""))</f>
        <v>26.39</v>
      </c>
      <c r="L142" s="5" t="s">
        <v>49</v>
      </c>
    </row>
    <row r="143" spans="2:12" ht="10.5" hidden="1">
      <c r="B143" s="16" t="s">
        <v>50</v>
      </c>
      <c r="C143" s="1">
        <v>57.8</v>
      </c>
      <c r="F143" s="13">
        <f>IF('Текущие цены с учетом расхода'!O12&gt;0,'Текущие цены с учетом расхода'!O12,IF('Текущие цены с учетом расхода'!O12&lt;0,'Текущие цены с учетом расхода'!O12,""))</f>
        <v>270.9</v>
      </c>
      <c r="L143" s="5" t="s">
        <v>51</v>
      </c>
    </row>
    <row r="144" spans="2:12" ht="10.5" hidden="1">
      <c r="B144" s="16" t="s">
        <v>52</v>
      </c>
      <c r="C144" s="1">
        <v>57.8</v>
      </c>
      <c r="F144" s="13">
        <f>IF('Текущие цены с учетом расхода'!R12&gt;0,'Текущие цены с учетом расхода'!R12,IF('Текущие цены с учетом расхода'!R12&lt;0,'Текущие цены с учетом расхода'!R12,""))</f>
        <v>248.75</v>
      </c>
      <c r="L144" s="5" t="s">
        <v>53</v>
      </c>
    </row>
    <row r="145" spans="2:12" ht="10.5" hidden="1">
      <c r="B145" s="16" t="s">
        <v>54</v>
      </c>
      <c r="C145" s="1">
        <v>57.8</v>
      </c>
      <c r="F145" s="13">
        <f>IF('Текущие цены с учетом расхода'!S12&gt;0,'Текущие цены с учетом расхода'!S12,IF('Текущие цены с учетом расхода'!S12&lt;0,'Текущие цены с учетом расхода'!S12,""))</f>
        <v>22.15</v>
      </c>
      <c r="L145" s="5" t="s">
        <v>55</v>
      </c>
    </row>
    <row r="146" spans="1:10" ht="10.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4" ht="10.5">
      <c r="A147" s="46" t="s">
        <v>70</v>
      </c>
      <c r="B147" s="47" t="s">
        <v>71</v>
      </c>
      <c r="C147" s="44">
        <v>25</v>
      </c>
      <c r="D147" s="12">
        <f>'Текущие цены за единицу'!B13</f>
        <v>177.63</v>
      </c>
      <c r="E147" s="12">
        <f>'Текущие цены за единицу'!D13</f>
        <v>0</v>
      </c>
      <c r="F147" s="48">
        <f>'Текущие цены с учетом расхода'!B13</f>
        <v>4440.75</v>
      </c>
      <c r="G147" s="48">
        <f>'Текущие цены с учетом расхода'!C13</f>
        <v>0</v>
      </c>
      <c r="H147" s="12">
        <f>'Текущие цены с учетом расхода'!D13</f>
        <v>0</v>
      </c>
      <c r="I147" s="14"/>
      <c r="J147" s="14">
        <f>'Текущие цены с учетом расхода'!I13</f>
        <v>0</v>
      </c>
      <c r="K147" s="1" t="s">
        <v>29</v>
      </c>
      <c r="L147" s="1" t="s">
        <v>30</v>
      </c>
      <c r="N147" s="48">
        <f>'Текущие цены с учетом расхода'!F13</f>
        <v>4440.75</v>
      </c>
    </row>
    <row r="148" spans="1:14" ht="54.75" customHeight="1">
      <c r="A148" s="44"/>
      <c r="B148" s="44"/>
      <c r="C148" s="44"/>
      <c r="D148" s="13">
        <f>'Текущие цены за единицу'!C13</f>
        <v>0</v>
      </c>
      <c r="E148" s="13">
        <f>'Текущие цены за единицу'!E13</f>
        <v>0</v>
      </c>
      <c r="F148" s="48"/>
      <c r="G148" s="48"/>
      <c r="H148" s="13">
        <f>'Текущие цены с учетом расхода'!E13</f>
        <v>0</v>
      </c>
      <c r="J148" s="1">
        <f>'Текущие цены с учетом расхода'!K13</f>
        <v>0</v>
      </c>
      <c r="K148" s="1" t="s">
        <v>31</v>
      </c>
      <c r="L148" s="1" t="s">
        <v>32</v>
      </c>
      <c r="N148" s="48"/>
    </row>
    <row r="149" ht="10.5" hidden="1">
      <c r="B149" s="16" t="s">
        <v>33</v>
      </c>
    </row>
    <row r="150" ht="10.5" hidden="1">
      <c r="B150" s="16" t="s">
        <v>34</v>
      </c>
    </row>
    <row r="151" ht="10.5" hidden="1">
      <c r="B151" s="16" t="s">
        <v>35</v>
      </c>
    </row>
    <row r="152" spans="2:6" ht="10.5" hidden="1">
      <c r="B152" s="16" t="s">
        <v>36</v>
      </c>
      <c r="F152" s="1">
        <v>4440.75</v>
      </c>
    </row>
    <row r="153" ht="21" hidden="1">
      <c r="B153" s="16" t="s">
        <v>37</v>
      </c>
    </row>
    <row r="154" spans="2:12" ht="21" hidden="1">
      <c r="B154" s="16" t="s">
        <v>38</v>
      </c>
      <c r="C154" s="17"/>
      <c r="K154" s="1" t="s">
        <v>39</v>
      </c>
      <c r="L154" s="1" t="s">
        <v>40</v>
      </c>
    </row>
    <row r="155" ht="10.5" hidden="1">
      <c r="B155" s="16" t="s">
        <v>41</v>
      </c>
    </row>
    <row r="156" ht="21" hidden="1">
      <c r="B156" s="16" t="s">
        <v>42</v>
      </c>
    </row>
    <row r="157" ht="10.5" hidden="1">
      <c r="B157" s="16" t="s">
        <v>43</v>
      </c>
    </row>
    <row r="158" spans="2:12" ht="10.5" hidden="1">
      <c r="B158" s="16" t="s">
        <v>44</v>
      </c>
      <c r="F158" s="13">
        <f>IF('Текущие цены с учетом расхода'!N13&gt;0,'Текущие цены с учетом расхода'!N13,IF('Текущие цены с учетом расхода'!N13&lt;0,'Текущие цены с учетом расхода'!N13,""))</f>
      </c>
      <c r="L158" s="5" t="s">
        <v>45</v>
      </c>
    </row>
    <row r="159" spans="2:12" ht="10.5" hidden="1">
      <c r="B159" s="16" t="s">
        <v>46</v>
      </c>
      <c r="F159" s="13">
        <f>IF('Текущие цены с учетом расхода'!P13&gt;0,'Текущие цены с учетом расхода'!P13,IF('Текущие цены с учетом расхода'!P13&lt;0,'Текущие цены с учетом расхода'!P13,""))</f>
      </c>
      <c r="L159" s="5" t="s">
        <v>47</v>
      </c>
    </row>
    <row r="160" spans="2:12" ht="10.5" hidden="1">
      <c r="B160" s="16" t="s">
        <v>48</v>
      </c>
      <c r="F160" s="13">
        <f>IF('Текущие цены с учетом расхода'!Q13&gt;0,'Текущие цены с учетом расхода'!Q13,IF('Текущие цены с учетом расхода'!Q13&lt;0,'Текущие цены с учетом расхода'!Q13,""))</f>
      </c>
      <c r="L160" s="5" t="s">
        <v>49</v>
      </c>
    </row>
    <row r="161" spans="2:12" ht="10.5" hidden="1">
      <c r="B161" s="16" t="s">
        <v>50</v>
      </c>
      <c r="F161" s="13">
        <f>IF('Текущие цены с учетом расхода'!O13&gt;0,'Текущие цены с учетом расхода'!O13,IF('Текущие цены с учетом расхода'!O13&lt;0,'Текущие цены с учетом расхода'!O13,""))</f>
      </c>
      <c r="L161" s="5" t="s">
        <v>51</v>
      </c>
    </row>
    <row r="162" spans="2:12" ht="10.5" hidden="1">
      <c r="B162" s="16" t="s">
        <v>52</v>
      </c>
      <c r="F162" s="13">
        <f>IF('Текущие цены с учетом расхода'!R13&gt;0,'Текущие цены с учетом расхода'!R13,IF('Текущие цены с учетом расхода'!R13&lt;0,'Текущие цены с учетом расхода'!R13,""))</f>
      </c>
      <c r="L162" s="5" t="s">
        <v>53</v>
      </c>
    </row>
    <row r="163" spans="2:12" ht="10.5" hidden="1">
      <c r="B163" s="16" t="s">
        <v>54</v>
      </c>
      <c r="F163" s="13">
        <f>IF('Текущие цены с учетом расхода'!S13&gt;0,'Текущие цены с учетом расхода'!S13,IF('Текущие цены с учетом расхода'!S13&lt;0,'Текущие цены с учетом расхода'!S13,""))</f>
      </c>
      <c r="L163" s="5" t="s">
        <v>55</v>
      </c>
    </row>
    <row r="164" spans="1:10" ht="10.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4" ht="10.5">
      <c r="A165" s="46" t="s">
        <v>72</v>
      </c>
      <c r="B165" s="47" t="s">
        <v>73</v>
      </c>
      <c r="C165" s="44">
        <v>0.1</v>
      </c>
      <c r="D165" s="12">
        <f>'Текущие цены за единицу'!B14</f>
        <v>58289.18</v>
      </c>
      <c r="E165" s="12">
        <f>'Текущие цены за единицу'!D14</f>
        <v>32040.9</v>
      </c>
      <c r="F165" s="48">
        <f>'Текущие цены с учетом расхода'!B14</f>
        <v>5828.92</v>
      </c>
      <c r="G165" s="48">
        <f>'Текущие цены с учетом расхода'!C14</f>
        <v>2478.82</v>
      </c>
      <c r="H165" s="12">
        <f>'Текущие цены с учетом расхода'!D14</f>
        <v>3204.09</v>
      </c>
      <c r="I165" s="14">
        <v>105.28</v>
      </c>
      <c r="J165" s="14">
        <f>'Текущие цены с учетом расхода'!I14</f>
        <v>10.528</v>
      </c>
      <c r="K165" s="1" t="s">
        <v>29</v>
      </c>
      <c r="L165" s="1" t="s">
        <v>30</v>
      </c>
      <c r="N165" s="48">
        <f>'Текущие цены с учетом расхода'!F14</f>
        <v>146.01</v>
      </c>
    </row>
    <row r="166" spans="1:14" ht="43.5" customHeight="1">
      <c r="A166" s="44"/>
      <c r="B166" s="44"/>
      <c r="C166" s="44"/>
      <c r="D166" s="13">
        <f>'Текущие цены за единицу'!C14</f>
        <v>24788.18</v>
      </c>
      <c r="E166" s="13">
        <f>'Текущие цены за единицу'!E14</f>
        <v>4837.12</v>
      </c>
      <c r="F166" s="48"/>
      <c r="G166" s="48"/>
      <c r="H166" s="13">
        <f>'Текущие цены с учетом расхода'!E14</f>
        <v>483.71</v>
      </c>
      <c r="I166" s="1">
        <v>16.9</v>
      </c>
      <c r="J166" s="1">
        <f>'Текущие цены с учетом расхода'!K14</f>
        <v>1.69</v>
      </c>
      <c r="K166" s="1" t="s">
        <v>31</v>
      </c>
      <c r="L166" s="1" t="s">
        <v>32</v>
      </c>
      <c r="N166" s="48"/>
    </row>
    <row r="167" spans="2:6" ht="10.5" hidden="1">
      <c r="B167" s="16" t="s">
        <v>33</v>
      </c>
      <c r="F167" s="1">
        <v>2478.82</v>
      </c>
    </row>
    <row r="168" spans="2:6" ht="10.5" hidden="1">
      <c r="B168" s="16" t="s">
        <v>34</v>
      </c>
      <c r="F168" s="1">
        <v>3204.09</v>
      </c>
    </row>
    <row r="169" spans="2:6" ht="10.5" hidden="1">
      <c r="B169" s="16" t="s">
        <v>35</v>
      </c>
      <c r="F169" s="1">
        <v>483.71</v>
      </c>
    </row>
    <row r="170" spans="2:6" ht="10.5" hidden="1">
      <c r="B170" s="16" t="s">
        <v>36</v>
      </c>
      <c r="F170" s="1">
        <v>146.01</v>
      </c>
    </row>
    <row r="171" ht="21" hidden="1">
      <c r="B171" s="16" t="s">
        <v>37</v>
      </c>
    </row>
    <row r="172" spans="2:12" ht="21" hidden="1">
      <c r="B172" s="16" t="s">
        <v>38</v>
      </c>
      <c r="C172" s="17"/>
      <c r="K172" s="1" t="s">
        <v>39</v>
      </c>
      <c r="L172" s="1" t="s">
        <v>40</v>
      </c>
    </row>
    <row r="173" ht="10.5" hidden="1">
      <c r="B173" s="16" t="s">
        <v>41</v>
      </c>
    </row>
    <row r="174" ht="21" hidden="1">
      <c r="B174" s="16" t="s">
        <v>42</v>
      </c>
    </row>
    <row r="175" ht="10.5" hidden="1">
      <c r="B175" s="16" t="s">
        <v>43</v>
      </c>
    </row>
    <row r="176" spans="2:12" ht="10.5" hidden="1">
      <c r="B176" s="16" t="s">
        <v>44</v>
      </c>
      <c r="C176" s="1">
        <v>68.85</v>
      </c>
      <c r="F176" s="13">
        <f>IF('Текущие цены с учетом расхода'!N14&gt;0,'Текущие цены с учетом расхода'!N14,IF('Текущие цены с учетом расхода'!N14&lt;0,'Текущие цены с учетом расхода'!N14,""))</f>
        <v>2039.7</v>
      </c>
      <c r="L176" s="5" t="s">
        <v>45</v>
      </c>
    </row>
    <row r="177" spans="2:12" ht="10.5" hidden="1">
      <c r="B177" s="16" t="s">
        <v>46</v>
      </c>
      <c r="C177" s="1">
        <v>68.85</v>
      </c>
      <c r="F177" s="13">
        <f>IF('Текущие цены с учетом расхода'!P14&gt;0,'Текущие цены с учетом расхода'!P14,IF('Текущие цены с учетом расхода'!P14&lt;0,'Текущие цены с учетом расхода'!P14,""))</f>
        <v>1706.67</v>
      </c>
      <c r="L177" s="5" t="s">
        <v>47</v>
      </c>
    </row>
    <row r="178" spans="2:12" ht="10.5" hidden="1">
      <c r="B178" s="16" t="s">
        <v>48</v>
      </c>
      <c r="C178" s="1">
        <v>68.85</v>
      </c>
      <c r="F178" s="13">
        <f>IF('Текущие цены с учетом расхода'!Q14&gt;0,'Текущие цены с учетом расхода'!Q14,IF('Текущие цены с учетом расхода'!Q14&lt;0,'Текущие цены с учетом расхода'!Q14,""))</f>
        <v>333.04</v>
      </c>
      <c r="L178" s="5" t="s">
        <v>49</v>
      </c>
    </row>
    <row r="179" spans="2:12" ht="10.5" hidden="1">
      <c r="B179" s="16" t="s">
        <v>50</v>
      </c>
      <c r="C179" s="1">
        <v>57.8</v>
      </c>
      <c r="F179" s="13">
        <f>IF('Текущие цены с учетом расхода'!O14&gt;0,'Текущие цены с учетом расхода'!O14,IF('Текущие цены с учетом расхода'!O14&lt;0,'Текущие цены с учетом расхода'!O14,""))</f>
        <v>1712.34</v>
      </c>
      <c r="L179" s="5" t="s">
        <v>51</v>
      </c>
    </row>
    <row r="180" spans="2:12" ht="10.5" hidden="1">
      <c r="B180" s="16" t="s">
        <v>52</v>
      </c>
      <c r="C180" s="1">
        <v>57.8</v>
      </c>
      <c r="F180" s="13">
        <f>IF('Текущие цены с учетом расхода'!R14&gt;0,'Текущие цены с учетом расхода'!R14,IF('Текущие цены с учетом расхода'!R14&lt;0,'Текущие цены с учетом расхода'!R14,""))</f>
        <v>1432.76</v>
      </c>
      <c r="L180" s="5" t="s">
        <v>53</v>
      </c>
    </row>
    <row r="181" spans="2:12" ht="10.5" hidden="1">
      <c r="B181" s="16" t="s">
        <v>54</v>
      </c>
      <c r="C181" s="1">
        <v>57.8</v>
      </c>
      <c r="F181" s="13">
        <f>IF('Текущие цены с учетом расхода'!S14&gt;0,'Текущие цены с учетом расхода'!S14,IF('Текущие цены с учетом расхода'!S14&lt;0,'Текущие цены с учетом расхода'!S14,""))</f>
        <v>279.59</v>
      </c>
      <c r="L181" s="5" t="s">
        <v>55</v>
      </c>
    </row>
    <row r="182" spans="1:10" ht="10.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4" ht="10.5">
      <c r="A183" s="46" t="s">
        <v>74</v>
      </c>
      <c r="B183" s="47" t="s">
        <v>75</v>
      </c>
      <c r="C183" s="44">
        <v>0.0557</v>
      </c>
      <c r="D183" s="12">
        <f>'Текущие цены за единицу'!B15</f>
        <v>37866.01</v>
      </c>
      <c r="E183" s="12">
        <f>'Текущие цены за единицу'!D15</f>
        <v>0</v>
      </c>
      <c r="F183" s="48">
        <f>'Текущие цены с учетом расхода'!B15</f>
        <v>2109.14</v>
      </c>
      <c r="G183" s="48">
        <f>'Текущие цены с учетом расхода'!C15</f>
        <v>0</v>
      </c>
      <c r="H183" s="12">
        <f>'Текущие цены с учетом расхода'!D15</f>
        <v>0</v>
      </c>
      <c r="I183" s="14"/>
      <c r="J183" s="14">
        <f>'Текущие цены с учетом расхода'!I15</f>
        <v>0</v>
      </c>
      <c r="K183" s="1" t="s">
        <v>29</v>
      </c>
      <c r="L183" s="1" t="s">
        <v>30</v>
      </c>
      <c r="N183" s="48">
        <f>'Текущие цены с учетом расхода'!F15</f>
        <v>2109.14</v>
      </c>
    </row>
    <row r="184" spans="1:14" ht="43.5" customHeight="1">
      <c r="A184" s="44"/>
      <c r="B184" s="44"/>
      <c r="C184" s="44"/>
      <c r="D184" s="13">
        <f>'Текущие цены за единицу'!C15</f>
        <v>0</v>
      </c>
      <c r="E184" s="13">
        <f>'Текущие цены за единицу'!E15</f>
        <v>0</v>
      </c>
      <c r="F184" s="48"/>
      <c r="G184" s="48"/>
      <c r="H184" s="13">
        <f>'Текущие цены с учетом расхода'!E15</f>
        <v>0</v>
      </c>
      <c r="J184" s="1">
        <f>'Текущие цены с учетом расхода'!K15</f>
        <v>0</v>
      </c>
      <c r="K184" s="1" t="s">
        <v>31</v>
      </c>
      <c r="L184" s="1" t="s">
        <v>32</v>
      </c>
      <c r="N184" s="48"/>
    </row>
    <row r="185" ht="10.5">
      <c r="B185" s="15" t="str">
        <f>IF(ROUND((10*0.00557)/1,9)=C183,"Объем: 10*0,00557","")</f>
        <v>Объем: 10*0,00557</v>
      </c>
    </row>
    <row r="186" ht="10.5" hidden="1">
      <c r="B186" s="16" t="s">
        <v>33</v>
      </c>
    </row>
    <row r="187" ht="10.5" hidden="1">
      <c r="B187" s="16" t="s">
        <v>34</v>
      </c>
    </row>
    <row r="188" ht="10.5" hidden="1">
      <c r="B188" s="16" t="s">
        <v>35</v>
      </c>
    </row>
    <row r="189" spans="2:6" ht="10.5" hidden="1">
      <c r="B189" s="16" t="s">
        <v>36</v>
      </c>
      <c r="F189" s="1">
        <v>2109.14</v>
      </c>
    </row>
    <row r="190" ht="21" hidden="1">
      <c r="B190" s="16" t="s">
        <v>37</v>
      </c>
    </row>
    <row r="191" spans="2:12" ht="21" hidden="1">
      <c r="B191" s="16" t="s">
        <v>38</v>
      </c>
      <c r="C191" s="17"/>
      <c r="K191" s="1" t="s">
        <v>39</v>
      </c>
      <c r="L191" s="1" t="s">
        <v>40</v>
      </c>
    </row>
    <row r="192" ht="10.5" hidden="1">
      <c r="B192" s="16" t="s">
        <v>41</v>
      </c>
    </row>
    <row r="193" ht="21" hidden="1">
      <c r="B193" s="16" t="s">
        <v>42</v>
      </c>
    </row>
    <row r="194" ht="10.5" hidden="1">
      <c r="B194" s="16" t="s">
        <v>43</v>
      </c>
    </row>
    <row r="195" spans="2:12" ht="10.5" hidden="1">
      <c r="B195" s="16" t="s">
        <v>44</v>
      </c>
      <c r="F195" s="13">
        <f>IF('Текущие цены с учетом расхода'!N15&gt;0,'Текущие цены с учетом расхода'!N15,IF('Текущие цены с учетом расхода'!N15&lt;0,'Текущие цены с учетом расхода'!N15,""))</f>
      </c>
      <c r="L195" s="5" t="s">
        <v>45</v>
      </c>
    </row>
    <row r="196" spans="2:12" ht="10.5" hidden="1">
      <c r="B196" s="16" t="s">
        <v>46</v>
      </c>
      <c r="F196" s="13">
        <f>IF('Текущие цены с учетом расхода'!P15&gt;0,'Текущие цены с учетом расхода'!P15,IF('Текущие цены с учетом расхода'!P15&lt;0,'Текущие цены с учетом расхода'!P15,""))</f>
      </c>
      <c r="L196" s="5" t="s">
        <v>47</v>
      </c>
    </row>
    <row r="197" spans="2:12" ht="10.5" hidden="1">
      <c r="B197" s="16" t="s">
        <v>48</v>
      </c>
      <c r="F197" s="13">
        <f>IF('Текущие цены с учетом расхода'!Q15&gt;0,'Текущие цены с учетом расхода'!Q15,IF('Текущие цены с учетом расхода'!Q15&lt;0,'Текущие цены с учетом расхода'!Q15,""))</f>
      </c>
      <c r="L197" s="5" t="s">
        <v>49</v>
      </c>
    </row>
    <row r="198" spans="2:12" ht="10.5" hidden="1">
      <c r="B198" s="16" t="s">
        <v>50</v>
      </c>
      <c r="F198" s="13">
        <f>IF('Текущие цены с учетом расхода'!O15&gt;0,'Текущие цены с учетом расхода'!O15,IF('Текущие цены с учетом расхода'!O15&lt;0,'Текущие цены с учетом расхода'!O15,""))</f>
      </c>
      <c r="L198" s="5" t="s">
        <v>51</v>
      </c>
    </row>
    <row r="199" spans="2:12" ht="10.5" hidden="1">
      <c r="B199" s="16" t="s">
        <v>52</v>
      </c>
      <c r="F199" s="13">
        <f>IF('Текущие цены с учетом расхода'!R15&gt;0,'Текущие цены с учетом расхода'!R15,IF('Текущие цены с учетом расхода'!R15&lt;0,'Текущие цены с учетом расхода'!R15,""))</f>
      </c>
      <c r="L199" s="5" t="s">
        <v>53</v>
      </c>
    </row>
    <row r="200" spans="2:12" ht="10.5" hidden="1">
      <c r="B200" s="16" t="s">
        <v>54</v>
      </c>
      <c r="F200" s="13">
        <f>IF('Текущие цены с учетом расхода'!S15&gt;0,'Текущие цены с учетом расхода'!S15,IF('Текущие цены с учетом расхода'!S15&lt;0,'Текущие цены с учетом расхода'!S15,""))</f>
      </c>
      <c r="L200" s="5" t="s">
        <v>55</v>
      </c>
    </row>
    <row r="201" spans="1:10" ht="10.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4" ht="10.5">
      <c r="A202" s="46" t="s">
        <v>76</v>
      </c>
      <c r="B202" s="47" t="s">
        <v>77</v>
      </c>
      <c r="C202" s="44">
        <v>4</v>
      </c>
      <c r="D202" s="12">
        <f>'Текущие цены за единицу'!B16</f>
        <v>79.11</v>
      </c>
      <c r="E202" s="12">
        <f>'Текущие цены за единицу'!D16</f>
        <v>0</v>
      </c>
      <c r="F202" s="48">
        <f>'Текущие цены с учетом расхода'!B16</f>
        <v>316.44</v>
      </c>
      <c r="G202" s="48">
        <f>'Текущие цены с учетом расхода'!C16</f>
        <v>316.44</v>
      </c>
      <c r="H202" s="12">
        <f>'Текущие цены с учетом расхода'!D16</f>
        <v>0</v>
      </c>
      <c r="I202" s="14">
        <v>0.34</v>
      </c>
      <c r="J202" s="14">
        <f>'Текущие цены с учетом расхода'!I16</f>
        <v>1.36</v>
      </c>
      <c r="K202" s="1" t="s">
        <v>29</v>
      </c>
      <c r="L202" s="1" t="s">
        <v>30</v>
      </c>
      <c r="N202" s="48">
        <f>'Текущие цены с учетом расхода'!F16</f>
        <v>0</v>
      </c>
    </row>
    <row r="203" spans="1:14" ht="33" customHeight="1">
      <c r="A203" s="44"/>
      <c r="B203" s="44"/>
      <c r="C203" s="44"/>
      <c r="D203" s="13">
        <f>'Текущие цены за единицу'!C16</f>
        <v>79.11</v>
      </c>
      <c r="E203" s="13">
        <f>'Текущие цены за единицу'!E16</f>
        <v>0</v>
      </c>
      <c r="F203" s="48"/>
      <c r="G203" s="48"/>
      <c r="H203" s="13">
        <f>'Текущие цены с учетом расхода'!E16</f>
        <v>0</v>
      </c>
      <c r="J203" s="1">
        <f>'Текущие цены с учетом расхода'!K16</f>
        <v>0</v>
      </c>
      <c r="K203" s="1" t="s">
        <v>31</v>
      </c>
      <c r="L203" s="1" t="s">
        <v>32</v>
      </c>
      <c r="N203" s="48"/>
    </row>
    <row r="204" spans="2:6" ht="10.5" hidden="1">
      <c r="B204" s="16" t="s">
        <v>33</v>
      </c>
      <c r="F204" s="1">
        <v>316.44</v>
      </c>
    </row>
    <row r="205" ht="10.5" hidden="1">
      <c r="B205" s="16" t="s">
        <v>34</v>
      </c>
    </row>
    <row r="206" ht="10.5" hidden="1">
      <c r="B206" s="16" t="s">
        <v>35</v>
      </c>
    </row>
    <row r="207" ht="10.5" hidden="1">
      <c r="B207" s="16" t="s">
        <v>36</v>
      </c>
    </row>
    <row r="208" ht="21" hidden="1">
      <c r="B208" s="16" t="s">
        <v>37</v>
      </c>
    </row>
    <row r="209" spans="2:12" ht="21" hidden="1">
      <c r="B209" s="16" t="s">
        <v>38</v>
      </c>
      <c r="C209" s="17"/>
      <c r="K209" s="1" t="s">
        <v>39</v>
      </c>
      <c r="L209" s="1" t="s">
        <v>40</v>
      </c>
    </row>
    <row r="210" ht="10.5" hidden="1">
      <c r="B210" s="16" t="s">
        <v>41</v>
      </c>
    </row>
    <row r="211" ht="21" hidden="1">
      <c r="B211" s="16" t="s">
        <v>42</v>
      </c>
    </row>
    <row r="212" ht="10.5" hidden="1">
      <c r="B212" s="16" t="s">
        <v>43</v>
      </c>
    </row>
    <row r="213" spans="2:12" ht="10.5" hidden="1">
      <c r="B213" s="16" t="s">
        <v>44</v>
      </c>
      <c r="C213" s="1">
        <v>68.85</v>
      </c>
      <c r="F213" s="13">
        <f>IF('Текущие цены с учетом расхода'!N16&gt;0,'Текущие цены с учетом расхода'!N16,IF('Текущие цены с учетом расхода'!N16&lt;0,'Текущие цены с учетом расхода'!N16,""))</f>
        <v>217.87</v>
      </c>
      <c r="L213" s="5" t="s">
        <v>45</v>
      </c>
    </row>
    <row r="214" spans="2:12" ht="10.5" hidden="1">
      <c r="B214" s="16" t="s">
        <v>46</v>
      </c>
      <c r="C214" s="1">
        <v>68.85</v>
      </c>
      <c r="F214" s="13">
        <f>IF('Текущие цены с учетом расхода'!P16&gt;0,'Текущие цены с учетом расхода'!P16,IF('Текущие цены с учетом расхода'!P16&lt;0,'Текущие цены с учетом расхода'!P16,""))</f>
        <v>217.87</v>
      </c>
      <c r="L214" s="5" t="s">
        <v>47</v>
      </c>
    </row>
    <row r="215" spans="2:12" ht="10.5" hidden="1">
      <c r="B215" s="16" t="s">
        <v>48</v>
      </c>
      <c r="F215" s="13">
        <f>IF('Текущие цены с учетом расхода'!Q16&gt;0,'Текущие цены с учетом расхода'!Q16,IF('Текущие цены с учетом расхода'!Q16&lt;0,'Текущие цены с учетом расхода'!Q16,""))</f>
      </c>
      <c r="L215" s="5" t="s">
        <v>49</v>
      </c>
    </row>
    <row r="216" spans="2:12" ht="10.5" hidden="1">
      <c r="B216" s="16" t="s">
        <v>50</v>
      </c>
      <c r="C216" s="1">
        <v>57.8</v>
      </c>
      <c r="F216" s="13">
        <f>IF('Текущие цены с учетом расхода'!O16&gt;0,'Текущие цены с учетом расхода'!O16,IF('Текущие цены с учетом расхода'!O16&lt;0,'Текущие цены с учетом расхода'!O16,""))</f>
        <v>182.9</v>
      </c>
      <c r="L216" s="5" t="s">
        <v>51</v>
      </c>
    </row>
    <row r="217" spans="2:12" ht="10.5" hidden="1">
      <c r="B217" s="16" t="s">
        <v>52</v>
      </c>
      <c r="C217" s="1">
        <v>57.8</v>
      </c>
      <c r="F217" s="13">
        <f>IF('Текущие цены с учетом расхода'!R16&gt;0,'Текущие цены с учетом расхода'!R16,IF('Текущие цены с учетом расхода'!R16&lt;0,'Текущие цены с учетом расхода'!R16,""))</f>
        <v>182.9</v>
      </c>
      <c r="L217" s="5" t="s">
        <v>53</v>
      </c>
    </row>
    <row r="218" spans="2:12" ht="10.5" hidden="1">
      <c r="B218" s="16" t="s">
        <v>54</v>
      </c>
      <c r="F218" s="13">
        <f>IF('Текущие цены с учетом расхода'!S16&gt;0,'Текущие цены с учетом расхода'!S16,IF('Текущие цены с учетом расхода'!S16&lt;0,'Текущие цены с учетом расхода'!S16,""))</f>
      </c>
      <c r="L218" s="5" t="s">
        <v>55</v>
      </c>
    </row>
    <row r="219" spans="1:10" ht="10.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2:18" ht="10.5">
      <c r="B220" s="19" t="s">
        <v>78</v>
      </c>
      <c r="C220" s="42"/>
      <c r="F220" s="43">
        <f>'Текущие концовки'!F7</f>
        <v>35731.93</v>
      </c>
      <c r="G220" s="43">
        <f>'Текущие концовки'!G7</f>
        <v>3885.31</v>
      </c>
      <c r="H220" s="22">
        <f>'Текущие концовки'!H7</f>
        <v>7878.14</v>
      </c>
      <c r="I220" s="44"/>
      <c r="J220" s="23">
        <f>'Текущие концовки'!J7</f>
        <v>16.47437</v>
      </c>
      <c r="N220" s="43">
        <f>'Текущие концовки'!L7</f>
        <v>23968.48</v>
      </c>
      <c r="R220" s="45">
        <f>'Текущие концовки'!M7</f>
        <v>0</v>
      </c>
    </row>
    <row r="221" spans="3:18" ht="10.5">
      <c r="C221" s="42"/>
      <c r="F221" s="43"/>
      <c r="G221" s="43"/>
      <c r="H221" s="21">
        <f>'Текущие концовки'!I7</f>
        <v>811.7</v>
      </c>
      <c r="I221" s="44"/>
      <c r="J221" s="7">
        <f>'Текущие концовки'!K7</f>
        <v>2.835925</v>
      </c>
      <c r="N221" s="43"/>
      <c r="R221" s="45"/>
    </row>
    <row r="222" spans="2:18" ht="10.5" hidden="1">
      <c r="B222" s="19" t="s">
        <v>79</v>
      </c>
      <c r="F222" s="21">
        <f>'Текущие концовки'!F8</f>
        <v>0</v>
      </c>
      <c r="G222" s="21">
        <f>'Текущие концовки'!G8</f>
        <v>0</v>
      </c>
      <c r="H222" s="21">
        <f>'Текущие концовки'!H8</f>
        <v>0</v>
      </c>
      <c r="J222" s="7">
        <f>'Текущие концовки'!J8</f>
        <v>0</v>
      </c>
      <c r="N222" s="21">
        <f>'Текущие концовки'!L8</f>
        <v>0</v>
      </c>
      <c r="R222" s="24">
        <f>'Текущие концовки'!M8</f>
        <v>0</v>
      </c>
    </row>
    <row r="223" spans="2:18" ht="10.5" hidden="1">
      <c r="B223" s="19" t="s">
        <v>80</v>
      </c>
      <c r="F223" s="21">
        <f>'Текущие концовки'!F9</f>
        <v>0</v>
      </c>
      <c r="G223" s="21"/>
      <c r="H223" s="21"/>
      <c r="J223" s="7"/>
      <c r="N223" s="21"/>
      <c r="R223" s="24"/>
    </row>
    <row r="224" spans="2:18" ht="10.5" hidden="1">
      <c r="B224" s="19" t="s">
        <v>81</v>
      </c>
      <c r="F224" s="21">
        <f>'Текущие концовки'!F10</f>
        <v>0</v>
      </c>
      <c r="G224" s="21"/>
      <c r="H224" s="21"/>
      <c r="J224" s="7"/>
      <c r="N224" s="21"/>
      <c r="R224" s="24"/>
    </row>
    <row r="225" spans="2:18" ht="10.5" hidden="1">
      <c r="B225" s="19" t="s">
        <v>82</v>
      </c>
      <c r="F225" s="21">
        <f>'Текущие концовки'!F11</f>
        <v>0</v>
      </c>
      <c r="G225" s="21"/>
      <c r="H225" s="21"/>
      <c r="J225" s="7"/>
      <c r="N225" s="21"/>
      <c r="R225" s="24"/>
    </row>
    <row r="226" spans="2:18" ht="10.5" hidden="1">
      <c r="B226" s="19" t="s">
        <v>83</v>
      </c>
      <c r="F226" s="21">
        <f>'Текущие концовки'!F12</f>
        <v>0</v>
      </c>
      <c r="G226" s="21"/>
      <c r="H226" s="21"/>
      <c r="J226" s="7"/>
      <c r="N226" s="21"/>
      <c r="R226" s="24"/>
    </row>
    <row r="227" spans="2:18" ht="10.5" hidden="1">
      <c r="B227" s="19" t="s">
        <v>84</v>
      </c>
      <c r="F227" s="21">
        <f>'Текущие концовки'!F13</f>
        <v>0</v>
      </c>
      <c r="G227" s="21"/>
      <c r="H227" s="21"/>
      <c r="J227" s="7"/>
      <c r="N227" s="21"/>
      <c r="R227" s="24"/>
    </row>
    <row r="228" spans="2:18" ht="10.5" hidden="1">
      <c r="B228" s="19" t="s">
        <v>85</v>
      </c>
      <c r="F228" s="21">
        <f>'Текущие концовки'!F14</f>
        <v>0</v>
      </c>
      <c r="G228" s="21"/>
      <c r="H228" s="21"/>
      <c r="J228" s="7"/>
      <c r="N228" s="21"/>
      <c r="R228" s="24"/>
    </row>
    <row r="229" spans="2:18" ht="10.5" hidden="1">
      <c r="B229" s="19" t="s">
        <v>86</v>
      </c>
      <c r="F229" s="21">
        <f>'Текущие концовки'!F15</f>
        <v>0</v>
      </c>
      <c r="G229" s="21"/>
      <c r="H229" s="21"/>
      <c r="J229" s="7"/>
      <c r="N229" s="21"/>
      <c r="R229" s="24"/>
    </row>
    <row r="230" spans="2:18" ht="10.5" hidden="1">
      <c r="B230" s="19" t="s">
        <v>87</v>
      </c>
      <c r="F230" s="21">
        <f>'Текущие концовки'!F16</f>
        <v>0</v>
      </c>
      <c r="G230" s="21"/>
      <c r="H230" s="21"/>
      <c r="J230" s="7"/>
      <c r="N230" s="21"/>
      <c r="R230" s="24"/>
    </row>
    <row r="231" spans="2:18" ht="10.5" hidden="1">
      <c r="B231" s="19" t="s">
        <v>88</v>
      </c>
      <c r="F231" s="21">
        <f>'Текущие концовки'!F17</f>
        <v>0</v>
      </c>
      <c r="G231" s="21"/>
      <c r="H231" s="21"/>
      <c r="J231" s="7"/>
      <c r="N231" s="21"/>
      <c r="R231" s="24"/>
    </row>
    <row r="232" spans="2:18" ht="10.5" hidden="1">
      <c r="B232" s="19" t="s">
        <v>89</v>
      </c>
      <c r="F232" s="21">
        <f>'Текущие концовки'!F18</f>
        <v>0</v>
      </c>
      <c r="G232" s="21">
        <f>'Текущие концовки'!G18</f>
        <v>0</v>
      </c>
      <c r="H232" s="21">
        <f>'Текущие концовки'!H18</f>
        <v>0</v>
      </c>
      <c r="J232" s="7">
        <f>'Текущие концовки'!J18</f>
        <v>0</v>
      </c>
      <c r="N232" s="21">
        <f>'Текущие концовки'!L18</f>
        <v>0</v>
      </c>
      <c r="R232" s="24">
        <f>'Текущие концовки'!M18</f>
        <v>0</v>
      </c>
    </row>
    <row r="233" spans="2:18" ht="10.5" hidden="1">
      <c r="B233" s="19" t="s">
        <v>90</v>
      </c>
      <c r="F233" s="21"/>
      <c r="G233" s="21"/>
      <c r="H233" s="21"/>
      <c r="J233" s="7"/>
      <c r="N233" s="21"/>
      <c r="R233" s="24"/>
    </row>
    <row r="234" spans="2:18" ht="10.5" hidden="1">
      <c r="B234" s="19" t="s">
        <v>91</v>
      </c>
      <c r="F234" s="21"/>
      <c r="G234" s="21">
        <f>'Текущие концовки'!G20</f>
        <v>0</v>
      </c>
      <c r="H234" s="21"/>
      <c r="J234" s="7"/>
      <c r="N234" s="21"/>
      <c r="R234" s="24"/>
    </row>
    <row r="235" spans="2:18" ht="10.5" hidden="1">
      <c r="B235" s="19" t="s">
        <v>92</v>
      </c>
      <c r="F235" s="21">
        <f>'Текущие концовки'!F21</f>
        <v>0</v>
      </c>
      <c r="G235" s="21"/>
      <c r="H235" s="21"/>
      <c r="J235" s="7"/>
      <c r="N235" s="21"/>
      <c r="R235" s="24"/>
    </row>
    <row r="236" spans="2:18" ht="21" hidden="1">
      <c r="B236" s="19" t="s">
        <v>93</v>
      </c>
      <c r="F236" s="21">
        <f>'Текущие концовки'!F22</f>
        <v>0</v>
      </c>
      <c r="G236" s="21"/>
      <c r="H236" s="21"/>
      <c r="J236" s="7"/>
      <c r="N236" s="21"/>
      <c r="R236" s="24"/>
    </row>
    <row r="237" spans="2:18" ht="10.5" hidden="1">
      <c r="B237" s="19" t="s">
        <v>94</v>
      </c>
      <c r="F237" s="21">
        <f>'Текущие концовки'!F23</f>
        <v>0</v>
      </c>
      <c r="G237" s="21"/>
      <c r="H237" s="21"/>
      <c r="J237" s="7"/>
      <c r="N237" s="21"/>
      <c r="R237" s="24"/>
    </row>
    <row r="238" spans="2:18" ht="10.5" hidden="1">
      <c r="B238" s="19" t="s">
        <v>95</v>
      </c>
      <c r="F238" s="21">
        <f>'Текущие концовки'!F24</f>
        <v>0</v>
      </c>
      <c r="G238" s="21"/>
      <c r="H238" s="21"/>
      <c r="J238" s="7"/>
      <c r="N238" s="21"/>
      <c r="R238" s="24"/>
    </row>
    <row r="239" spans="2:18" ht="10.5" hidden="1">
      <c r="B239" s="19" t="s">
        <v>96</v>
      </c>
      <c r="F239" s="21">
        <f>'Текущие концовки'!F25</f>
        <v>0</v>
      </c>
      <c r="G239" s="21"/>
      <c r="H239" s="21"/>
      <c r="J239" s="7"/>
      <c r="N239" s="21"/>
      <c r="R239" s="24"/>
    </row>
    <row r="240" spans="2:18" ht="10.5" hidden="1">
      <c r="B240" s="19" t="s">
        <v>87</v>
      </c>
      <c r="F240" s="21">
        <f>'Текущие концовки'!F26</f>
        <v>0</v>
      </c>
      <c r="G240" s="21"/>
      <c r="H240" s="21"/>
      <c r="J240" s="7"/>
      <c r="N240" s="21"/>
      <c r="R240" s="24"/>
    </row>
    <row r="241" spans="2:18" ht="10.5" hidden="1">
      <c r="B241" s="19" t="s">
        <v>97</v>
      </c>
      <c r="F241" s="21">
        <f>'Текущие концовки'!F27</f>
        <v>0</v>
      </c>
      <c r="G241" s="21"/>
      <c r="H241" s="21"/>
      <c r="J241" s="7"/>
      <c r="N241" s="21"/>
      <c r="R241" s="24"/>
    </row>
    <row r="242" spans="2:18" ht="10.5">
      <c r="B242" s="19" t="s">
        <v>98</v>
      </c>
      <c r="C242" s="42"/>
      <c r="F242" s="43">
        <f>'Текущие концовки'!F28</f>
        <v>21216.76</v>
      </c>
      <c r="G242" s="43">
        <f>'Текущие концовки'!G28</f>
        <v>659.69</v>
      </c>
      <c r="H242" s="22">
        <f>'Текущие концовки'!H28</f>
        <v>1444.83</v>
      </c>
      <c r="I242" s="44"/>
      <c r="J242" s="23">
        <f>'Текущие концовки'!J28</f>
        <v>2.820852</v>
      </c>
      <c r="N242" s="43">
        <f>'Текущие концовки'!L28</f>
        <v>19112.24</v>
      </c>
      <c r="R242" s="45">
        <f>'Текущие концовки'!M28</f>
        <v>0</v>
      </c>
    </row>
    <row r="243" spans="3:18" ht="10.5">
      <c r="C243" s="42"/>
      <c r="F243" s="43"/>
      <c r="G243" s="43"/>
      <c r="H243" s="21">
        <f>'Текущие концовки'!I28</f>
        <v>289.66</v>
      </c>
      <c r="I243" s="44"/>
      <c r="J243" s="7">
        <f>'Текущие концовки'!K28</f>
        <v>1.012008</v>
      </c>
      <c r="N243" s="43"/>
      <c r="R243" s="45"/>
    </row>
    <row r="244" spans="2:18" ht="10.5" hidden="1">
      <c r="B244" s="19" t="s">
        <v>90</v>
      </c>
      <c r="F244" s="21"/>
      <c r="G244" s="21"/>
      <c r="H244" s="21"/>
      <c r="J244" s="7"/>
      <c r="N244" s="21"/>
      <c r="R244" s="24"/>
    </row>
    <row r="245" spans="2:18" ht="10.5">
      <c r="B245" s="19" t="s">
        <v>99</v>
      </c>
      <c r="C245" s="20"/>
      <c r="F245" s="21">
        <f>'Текущие концовки'!F30</f>
        <v>2109.14</v>
      </c>
      <c r="G245" s="21"/>
      <c r="H245" s="21"/>
      <c r="J245" s="7"/>
      <c r="N245" s="21"/>
      <c r="R245" s="24"/>
    </row>
    <row r="246" spans="2:18" ht="10.5" hidden="1">
      <c r="B246" s="19" t="s">
        <v>94</v>
      </c>
      <c r="F246" s="21">
        <f>'Текущие концовки'!F31</f>
        <v>0</v>
      </c>
      <c r="G246" s="21"/>
      <c r="H246" s="21"/>
      <c r="J246" s="7"/>
      <c r="N246" s="21"/>
      <c r="R246" s="24"/>
    </row>
    <row r="247" spans="2:18" ht="21">
      <c r="B247" s="19" t="s">
        <v>100</v>
      </c>
      <c r="C247" s="20"/>
      <c r="F247" s="21">
        <f>'Текущие концовки'!F32</f>
        <v>1007.68</v>
      </c>
      <c r="G247" s="21"/>
      <c r="H247" s="21"/>
      <c r="J247" s="7"/>
      <c r="N247" s="21"/>
      <c r="R247" s="24"/>
    </row>
    <row r="248" spans="2:18" ht="21">
      <c r="B248" s="19" t="s">
        <v>101</v>
      </c>
      <c r="C248" s="20"/>
      <c r="F248" s="21">
        <f>'Текущие концовки'!F33</f>
        <v>593.2</v>
      </c>
      <c r="G248" s="21"/>
      <c r="H248" s="21"/>
      <c r="J248" s="7"/>
      <c r="N248" s="21"/>
      <c r="R248" s="24"/>
    </row>
    <row r="249" spans="2:18" ht="21">
      <c r="B249" s="19" t="s">
        <v>102</v>
      </c>
      <c r="C249" s="20"/>
      <c r="F249" s="21">
        <f>'Текущие концовки'!F34</f>
        <v>22817.64</v>
      </c>
      <c r="G249" s="21"/>
      <c r="H249" s="21"/>
      <c r="J249" s="7"/>
      <c r="N249" s="21"/>
      <c r="R249" s="24"/>
    </row>
    <row r="250" spans="2:18" ht="10.5">
      <c r="B250" s="19" t="s">
        <v>103</v>
      </c>
      <c r="C250" s="42"/>
      <c r="F250" s="43">
        <f>'Текущие концовки'!F35</f>
        <v>7127.45</v>
      </c>
      <c r="G250" s="43">
        <f>'Текущие концовки'!G35</f>
        <v>3225.62</v>
      </c>
      <c r="H250" s="22">
        <f>'Текущие концовки'!H35</f>
        <v>3486.34</v>
      </c>
      <c r="I250" s="44"/>
      <c r="J250" s="23">
        <f>'Текущие концовки'!J35</f>
        <v>13.653518</v>
      </c>
      <c r="N250" s="43">
        <f>'Текущие концовки'!L35</f>
        <v>415.49</v>
      </c>
      <c r="R250" s="45">
        <f>'Текущие концовки'!M35</f>
        <v>0</v>
      </c>
    </row>
    <row r="251" spans="3:18" ht="10.5">
      <c r="C251" s="42"/>
      <c r="F251" s="43"/>
      <c r="G251" s="43"/>
      <c r="H251" s="21">
        <f>'Текущие концовки'!I35</f>
        <v>522.04</v>
      </c>
      <c r="I251" s="44"/>
      <c r="J251" s="7">
        <f>'Текущие концовки'!K35</f>
        <v>1.823917</v>
      </c>
      <c r="N251" s="43"/>
      <c r="R251" s="45"/>
    </row>
    <row r="252" spans="2:18" ht="10.5" hidden="1">
      <c r="B252" s="19" t="s">
        <v>94</v>
      </c>
      <c r="F252" s="21">
        <f>'Текущие концовки'!F36</f>
        <v>0</v>
      </c>
      <c r="G252" s="21"/>
      <c r="H252" s="21"/>
      <c r="J252" s="7"/>
      <c r="N252" s="21"/>
      <c r="R252" s="24"/>
    </row>
    <row r="253" spans="2:18" ht="21">
      <c r="B253" s="19" t="s">
        <v>104</v>
      </c>
      <c r="C253" s="20"/>
      <c r="F253" s="21">
        <f>'Текущие концовки'!F37</f>
        <v>2580.26</v>
      </c>
      <c r="G253" s="21"/>
      <c r="H253" s="21"/>
      <c r="J253" s="7"/>
      <c r="N253" s="21"/>
      <c r="R253" s="24"/>
    </row>
    <row r="254" spans="2:18" ht="21">
      <c r="B254" s="19" t="s">
        <v>105</v>
      </c>
      <c r="C254" s="20"/>
      <c r="F254" s="21">
        <f>'Текущие концовки'!F38</f>
        <v>2166.14</v>
      </c>
      <c r="G254" s="21"/>
      <c r="H254" s="21"/>
      <c r="J254" s="7"/>
      <c r="N254" s="21"/>
      <c r="R254" s="24"/>
    </row>
    <row r="255" spans="2:18" ht="21">
      <c r="B255" s="19" t="s">
        <v>106</v>
      </c>
      <c r="C255" s="20"/>
      <c r="F255" s="21">
        <f>'Текущие концовки'!F39</f>
        <v>11873.85</v>
      </c>
      <c r="G255" s="21"/>
      <c r="H255" s="21"/>
      <c r="J255" s="7"/>
      <c r="N255" s="21"/>
      <c r="R255" s="24"/>
    </row>
    <row r="256" spans="2:18" ht="10.5">
      <c r="B256" s="19" t="s">
        <v>107</v>
      </c>
      <c r="C256" s="20"/>
      <c r="F256" s="21">
        <f>'Текущие концовки'!F40</f>
        <v>4440.75</v>
      </c>
      <c r="G256" s="21">
        <f>'Текущие концовки'!G40</f>
        <v>0</v>
      </c>
      <c r="H256" s="21">
        <f>'Текущие концовки'!H40</f>
        <v>0</v>
      </c>
      <c r="J256" s="7">
        <f>'Текущие концовки'!J40</f>
        <v>0</v>
      </c>
      <c r="N256" s="21">
        <f>'Текущие концовки'!L40</f>
        <v>4440.75</v>
      </c>
      <c r="R256" s="24">
        <f>'Текущие концовки'!M40</f>
        <v>0</v>
      </c>
    </row>
    <row r="257" spans="2:18" ht="10.5" hidden="1">
      <c r="B257" s="19" t="s">
        <v>90</v>
      </c>
      <c r="F257" s="21"/>
      <c r="G257" s="21"/>
      <c r="H257" s="21"/>
      <c r="J257" s="7"/>
      <c r="N257" s="21"/>
      <c r="R257" s="24"/>
    </row>
    <row r="258" spans="2:18" ht="10.5" hidden="1">
      <c r="B258" s="19" t="s">
        <v>108</v>
      </c>
      <c r="F258" s="21">
        <f>'Текущие концовки'!F42</f>
        <v>0</v>
      </c>
      <c r="G258" s="21">
        <f>'Текущие концовки'!G42</f>
        <v>0</v>
      </c>
      <c r="H258" s="21">
        <f>'Текущие концовки'!H42</f>
        <v>0</v>
      </c>
      <c r="J258" s="7">
        <f>'Текущие концовки'!J42</f>
        <v>0</v>
      </c>
      <c r="N258" s="21">
        <f>'Текущие концовки'!L42</f>
        <v>0</v>
      </c>
      <c r="R258" s="24">
        <f>'Текущие концовки'!M42</f>
        <v>0</v>
      </c>
    </row>
    <row r="259" spans="2:18" ht="10.5" hidden="1">
      <c r="B259" s="19" t="s">
        <v>94</v>
      </c>
      <c r="F259" s="21">
        <f>'Текущие концовки'!F43</f>
        <v>0</v>
      </c>
      <c r="G259" s="21"/>
      <c r="H259" s="21"/>
      <c r="J259" s="7"/>
      <c r="N259" s="21"/>
      <c r="R259" s="24"/>
    </row>
    <row r="260" spans="2:18" ht="10.5" hidden="1">
      <c r="B260" s="19" t="s">
        <v>95</v>
      </c>
      <c r="F260" s="21">
        <f>'Текущие концовки'!F44</f>
        <v>0</v>
      </c>
      <c r="G260" s="21"/>
      <c r="H260" s="21"/>
      <c r="J260" s="7"/>
      <c r="N260" s="21"/>
      <c r="R260" s="24"/>
    </row>
    <row r="261" spans="2:18" ht="10.5" hidden="1">
      <c r="B261" s="19" t="s">
        <v>96</v>
      </c>
      <c r="F261" s="21">
        <f>'Текущие концовки'!F45</f>
        <v>0</v>
      </c>
      <c r="G261" s="21"/>
      <c r="H261" s="21"/>
      <c r="J261" s="7"/>
      <c r="N261" s="21"/>
      <c r="R261" s="24"/>
    </row>
    <row r="262" spans="2:18" ht="10.5" hidden="1">
      <c r="B262" s="19" t="s">
        <v>87</v>
      </c>
      <c r="F262" s="21">
        <f>'Текущие концовки'!F46</f>
        <v>0</v>
      </c>
      <c r="G262" s="21"/>
      <c r="H262" s="21"/>
      <c r="J262" s="7"/>
      <c r="N262" s="21"/>
      <c r="R262" s="24"/>
    </row>
    <row r="263" spans="2:18" ht="10.5">
      <c r="B263" s="19" t="s">
        <v>109</v>
      </c>
      <c r="C263" s="20"/>
      <c r="F263" s="21">
        <f>'Текущие концовки'!F47</f>
        <v>4440.75</v>
      </c>
      <c r="G263" s="21"/>
      <c r="H263" s="21"/>
      <c r="J263" s="7"/>
      <c r="N263" s="21"/>
      <c r="R263" s="24"/>
    </row>
    <row r="264" spans="2:18" ht="10.5" hidden="1">
      <c r="B264" s="19" t="s">
        <v>110</v>
      </c>
      <c r="F264" s="21">
        <f>'Текущие концовки'!F48</f>
        <v>0</v>
      </c>
      <c r="G264" s="21">
        <f>'Текущие концовки'!G48</f>
        <v>0</v>
      </c>
      <c r="H264" s="21">
        <f>'Текущие концовки'!H48</f>
        <v>0</v>
      </c>
      <c r="J264" s="7">
        <f>'Текущие концовки'!J48</f>
        <v>0</v>
      </c>
      <c r="N264" s="21">
        <f>'Текущие концовки'!L48</f>
        <v>0</v>
      </c>
      <c r="R264" s="24">
        <f>'Текущие концовки'!M48</f>
        <v>0</v>
      </c>
    </row>
    <row r="265" spans="2:18" ht="10.5" hidden="1">
      <c r="B265" s="19" t="s">
        <v>94</v>
      </c>
      <c r="F265" s="21">
        <f>'Текущие концовки'!F49</f>
        <v>0</v>
      </c>
      <c r="G265" s="21"/>
      <c r="H265" s="21"/>
      <c r="J265" s="7"/>
      <c r="N265" s="21"/>
      <c r="R265" s="24"/>
    </row>
    <row r="266" spans="2:18" ht="10.5" hidden="1">
      <c r="B266" s="19" t="s">
        <v>95</v>
      </c>
      <c r="F266" s="21">
        <f>'Текущие концовки'!F50</f>
        <v>0</v>
      </c>
      <c r="G266" s="21"/>
      <c r="H266" s="21"/>
      <c r="J266" s="7"/>
      <c r="N266" s="21"/>
      <c r="R266" s="24"/>
    </row>
    <row r="267" spans="2:18" ht="10.5" hidden="1">
      <c r="B267" s="19" t="s">
        <v>96</v>
      </c>
      <c r="F267" s="21">
        <f>'Текущие концовки'!F51</f>
        <v>0</v>
      </c>
      <c r="G267" s="21"/>
      <c r="H267" s="21"/>
      <c r="J267" s="7"/>
      <c r="N267" s="21"/>
      <c r="R267" s="24"/>
    </row>
    <row r="268" spans="2:18" ht="10.5" hidden="1">
      <c r="B268" s="19" t="s">
        <v>111</v>
      </c>
      <c r="F268" s="21">
        <f>'Текущие концовки'!F52</f>
        <v>0</v>
      </c>
      <c r="G268" s="21"/>
      <c r="H268" s="21"/>
      <c r="J268" s="7"/>
      <c r="N268" s="21"/>
      <c r="R268" s="24"/>
    </row>
    <row r="269" spans="2:18" ht="10.5" hidden="1">
      <c r="B269" s="19" t="s">
        <v>112</v>
      </c>
      <c r="F269" s="21">
        <f>'Текущие концовки'!F53</f>
        <v>0</v>
      </c>
      <c r="G269" s="21">
        <f>'Текущие концовки'!G53</f>
        <v>0</v>
      </c>
      <c r="H269" s="21">
        <f>'Текущие концовки'!H53</f>
        <v>0</v>
      </c>
      <c r="J269" s="7">
        <f>'Текущие концовки'!J53</f>
        <v>0</v>
      </c>
      <c r="N269" s="21">
        <f>'Текущие концовки'!L53</f>
        <v>0</v>
      </c>
      <c r="R269" s="24">
        <f>'Текущие концовки'!M53</f>
        <v>0</v>
      </c>
    </row>
    <row r="270" spans="2:18" ht="10.5" hidden="1">
      <c r="B270" s="19" t="s">
        <v>94</v>
      </c>
      <c r="F270" s="21">
        <f>'Текущие концовки'!F54</f>
        <v>0</v>
      </c>
      <c r="G270" s="21"/>
      <c r="H270" s="21"/>
      <c r="J270" s="7"/>
      <c r="N270" s="21"/>
      <c r="R270" s="24"/>
    </row>
    <row r="271" spans="2:18" ht="10.5" hidden="1">
      <c r="B271" s="19" t="s">
        <v>95</v>
      </c>
      <c r="F271" s="21">
        <f>'Текущие концовки'!F55</f>
        <v>0</v>
      </c>
      <c r="G271" s="21"/>
      <c r="H271" s="21"/>
      <c r="J271" s="7"/>
      <c r="N271" s="21"/>
      <c r="R271" s="24"/>
    </row>
    <row r="272" spans="2:18" ht="10.5" hidden="1">
      <c r="B272" s="19" t="s">
        <v>96</v>
      </c>
      <c r="F272" s="21">
        <f>'Текущие концовки'!F56</f>
        <v>0</v>
      </c>
      <c r="G272" s="21"/>
      <c r="H272" s="21"/>
      <c r="J272" s="7"/>
      <c r="N272" s="21"/>
      <c r="R272" s="24"/>
    </row>
    <row r="273" spans="2:18" ht="21" hidden="1">
      <c r="B273" s="19" t="s">
        <v>113</v>
      </c>
      <c r="F273" s="21">
        <f>'Текущие концовки'!F57</f>
        <v>0</v>
      </c>
      <c r="G273" s="21"/>
      <c r="H273" s="21"/>
      <c r="J273" s="7"/>
      <c r="N273" s="21"/>
      <c r="R273" s="24"/>
    </row>
    <row r="274" spans="2:18" ht="10.5" hidden="1">
      <c r="B274" s="19" t="s">
        <v>114</v>
      </c>
      <c r="F274" s="21">
        <f>'Текущие концовки'!F58</f>
        <v>0</v>
      </c>
      <c r="G274" s="21">
        <f>'Текущие концовки'!G58</f>
        <v>0</v>
      </c>
      <c r="H274" s="21">
        <f>'Текущие концовки'!H58</f>
        <v>0</v>
      </c>
      <c r="J274" s="7">
        <f>'Текущие концовки'!J58</f>
        <v>0</v>
      </c>
      <c r="N274" s="21">
        <f>'Текущие концовки'!L58</f>
        <v>0</v>
      </c>
      <c r="R274" s="24">
        <f>'Текущие концовки'!M58</f>
        <v>0</v>
      </c>
    </row>
    <row r="275" spans="2:18" ht="10.5" hidden="1">
      <c r="B275" s="19" t="s">
        <v>90</v>
      </c>
      <c r="F275" s="21"/>
      <c r="G275" s="21"/>
      <c r="H275" s="21"/>
      <c r="J275" s="7"/>
      <c r="N275" s="21"/>
      <c r="R275" s="24"/>
    </row>
    <row r="276" spans="2:18" ht="10.5" hidden="1">
      <c r="B276" s="19" t="s">
        <v>99</v>
      </c>
      <c r="F276" s="21">
        <f>'Текущие концовки'!F60</f>
        <v>2109.14</v>
      </c>
      <c r="G276" s="21"/>
      <c r="H276" s="21"/>
      <c r="J276" s="7"/>
      <c r="N276" s="21"/>
      <c r="R276" s="24"/>
    </row>
    <row r="277" spans="2:18" ht="10.5" hidden="1">
      <c r="B277" s="19" t="s">
        <v>94</v>
      </c>
      <c r="F277" s="21">
        <f>'Текущие концовки'!F61</f>
        <v>0</v>
      </c>
      <c r="G277" s="21"/>
      <c r="H277" s="21"/>
      <c r="J277" s="7"/>
      <c r="N277" s="21"/>
      <c r="R277" s="24"/>
    </row>
    <row r="278" spans="2:18" ht="10.5" hidden="1">
      <c r="B278" s="19" t="s">
        <v>95</v>
      </c>
      <c r="F278" s="21">
        <f>'Текущие концовки'!F62</f>
        <v>0</v>
      </c>
      <c r="G278" s="21"/>
      <c r="H278" s="21"/>
      <c r="J278" s="7"/>
      <c r="N278" s="21"/>
      <c r="R278" s="24"/>
    </row>
    <row r="279" spans="2:18" ht="10.5" hidden="1">
      <c r="B279" s="19" t="s">
        <v>96</v>
      </c>
      <c r="F279" s="21">
        <f>'Текущие концовки'!F63</f>
        <v>0</v>
      </c>
      <c r="G279" s="21"/>
      <c r="H279" s="21"/>
      <c r="J279" s="7"/>
      <c r="N279" s="21"/>
      <c r="R279" s="24"/>
    </row>
    <row r="280" spans="2:18" ht="10.5" hidden="1">
      <c r="B280" s="19" t="s">
        <v>115</v>
      </c>
      <c r="F280" s="21">
        <f>'Текущие концовки'!F64</f>
        <v>0</v>
      </c>
      <c r="G280" s="21"/>
      <c r="H280" s="21"/>
      <c r="J280" s="7"/>
      <c r="N280" s="21"/>
      <c r="R280" s="24"/>
    </row>
    <row r="281" spans="2:18" ht="10.5">
      <c r="B281" s="19" t="s">
        <v>116</v>
      </c>
      <c r="C281" s="20"/>
      <c r="F281" s="21">
        <f>'Текущие концовки'!F65</f>
        <v>2946.97</v>
      </c>
      <c r="G281" s="21">
        <f>'Текущие концовки'!G65</f>
        <v>0</v>
      </c>
      <c r="H281" s="21">
        <f>'Текущие концовки'!H65</f>
        <v>2946.97</v>
      </c>
      <c r="J281" s="7">
        <f>'Текущие концовки'!J65</f>
        <v>0</v>
      </c>
      <c r="N281" s="21">
        <f>'Текущие концовки'!L65</f>
        <v>0</v>
      </c>
      <c r="R281" s="24">
        <f>'Текущие концовки'!M65</f>
        <v>0</v>
      </c>
    </row>
    <row r="282" spans="2:18" ht="10.5" hidden="1">
      <c r="B282" s="19" t="s">
        <v>117</v>
      </c>
      <c r="F282" s="21">
        <f>'Текущие концовки'!F66</f>
        <v>0</v>
      </c>
      <c r="G282" s="21"/>
      <c r="H282" s="21"/>
      <c r="J282" s="7"/>
      <c r="N282" s="21"/>
      <c r="R282" s="24"/>
    </row>
    <row r="283" spans="2:18" ht="10.5" hidden="1">
      <c r="B283" s="19" t="s">
        <v>118</v>
      </c>
      <c r="F283" s="21">
        <f>'Текущие концовки'!F67</f>
        <v>0</v>
      </c>
      <c r="G283" s="21"/>
      <c r="H283" s="21"/>
      <c r="J283" s="7"/>
      <c r="N283" s="21"/>
      <c r="R283" s="24"/>
    </row>
    <row r="284" spans="2:18" ht="10.5" hidden="1">
      <c r="B284" s="19" t="s">
        <v>95</v>
      </c>
      <c r="F284" s="21">
        <f>'Текущие концовки'!F68</f>
        <v>0</v>
      </c>
      <c r="G284" s="21"/>
      <c r="H284" s="21"/>
      <c r="J284" s="7"/>
      <c r="N284" s="21"/>
      <c r="R284" s="24"/>
    </row>
    <row r="285" spans="2:18" ht="10.5" hidden="1">
      <c r="B285" s="19" t="s">
        <v>96</v>
      </c>
      <c r="F285" s="21">
        <f>'Текущие концовки'!F69</f>
        <v>0</v>
      </c>
      <c r="G285" s="21"/>
      <c r="H285" s="21"/>
      <c r="J285" s="7"/>
      <c r="N285" s="21"/>
      <c r="R285" s="24"/>
    </row>
    <row r="286" spans="2:18" ht="10.5">
      <c r="B286" s="19" t="s">
        <v>119</v>
      </c>
      <c r="C286" s="20"/>
      <c r="F286" s="21">
        <f>'Текущие концовки'!F70</f>
        <v>2946.97</v>
      </c>
      <c r="G286" s="21"/>
      <c r="H286" s="21"/>
      <c r="J286" s="7"/>
      <c r="N286" s="21"/>
      <c r="R286" s="24"/>
    </row>
    <row r="287" spans="2:18" ht="10.5" hidden="1">
      <c r="B287" s="19" t="s">
        <v>120</v>
      </c>
      <c r="F287" s="21">
        <f>'Текущие концовки'!F71</f>
        <v>0</v>
      </c>
      <c r="G287" s="21">
        <f>'Текущие концовки'!G71</f>
        <v>0</v>
      </c>
      <c r="H287" s="21">
        <f>'Текущие концовки'!H71</f>
        <v>0</v>
      </c>
      <c r="J287" s="7">
        <f>'Текущие концовки'!J71</f>
        <v>0</v>
      </c>
      <c r="N287" s="21">
        <f>'Текущие концовки'!L71</f>
        <v>0</v>
      </c>
      <c r="R287" s="24">
        <f>'Текущие концовки'!M71</f>
        <v>0</v>
      </c>
    </row>
    <row r="288" spans="2:18" ht="10.5" hidden="1">
      <c r="B288" s="19" t="s">
        <v>95</v>
      </c>
      <c r="F288" s="21">
        <f>'Текущие концовки'!F72</f>
        <v>0</v>
      </c>
      <c r="G288" s="21"/>
      <c r="H288" s="21"/>
      <c r="J288" s="7"/>
      <c r="N288" s="21"/>
      <c r="R288" s="24"/>
    </row>
    <row r="289" spans="2:18" ht="10.5" hidden="1">
      <c r="B289" s="19" t="s">
        <v>96</v>
      </c>
      <c r="F289" s="21">
        <f>'Текущие концовки'!F73</f>
        <v>0</v>
      </c>
      <c r="G289" s="21"/>
      <c r="H289" s="21"/>
      <c r="J289" s="7"/>
      <c r="N289" s="21"/>
      <c r="R289" s="24"/>
    </row>
    <row r="290" spans="2:18" ht="10.5" hidden="1">
      <c r="B290" s="19" t="s">
        <v>121</v>
      </c>
      <c r="F290" s="21">
        <f>'Текущие концовки'!F74</f>
        <v>0</v>
      </c>
      <c r="G290" s="21"/>
      <c r="H290" s="21"/>
      <c r="J290" s="7"/>
      <c r="N290" s="21"/>
      <c r="R290" s="24"/>
    </row>
    <row r="291" spans="2:18" ht="10.5" hidden="1">
      <c r="B291" s="19" t="s">
        <v>122</v>
      </c>
      <c r="F291" s="21">
        <f>'Текущие концовки'!F75</f>
        <v>0</v>
      </c>
      <c r="G291" s="21">
        <f>'Текущие концовки'!G75</f>
        <v>0</v>
      </c>
      <c r="H291" s="21">
        <f>'Текущие концовки'!H75</f>
        <v>0</v>
      </c>
      <c r="J291" s="7">
        <f>'Текущие концовки'!J75</f>
        <v>0</v>
      </c>
      <c r="N291" s="21">
        <f>'Текущие концовки'!L75</f>
        <v>0</v>
      </c>
      <c r="R291" s="24">
        <f>'Текущие концовки'!M75</f>
        <v>0</v>
      </c>
    </row>
    <row r="292" spans="2:18" ht="10.5" hidden="1">
      <c r="B292" s="19" t="s">
        <v>94</v>
      </c>
      <c r="F292" s="21">
        <f>'Текущие концовки'!F76</f>
        <v>0</v>
      </c>
      <c r="G292" s="21"/>
      <c r="H292" s="21"/>
      <c r="J292" s="7"/>
      <c r="N292" s="21"/>
      <c r="R292" s="24"/>
    </row>
    <row r="293" spans="2:18" ht="10.5" hidden="1">
      <c r="B293" s="19" t="s">
        <v>95</v>
      </c>
      <c r="F293" s="21">
        <f>'Текущие концовки'!F77</f>
        <v>0</v>
      </c>
      <c r="G293" s="21"/>
      <c r="H293" s="21"/>
      <c r="J293" s="7"/>
      <c r="N293" s="21"/>
      <c r="R293" s="24"/>
    </row>
    <row r="294" spans="2:18" ht="10.5" hidden="1">
      <c r="B294" s="19" t="s">
        <v>96</v>
      </c>
      <c r="F294" s="21">
        <f>'Текущие концовки'!F78</f>
        <v>0</v>
      </c>
      <c r="G294" s="21"/>
      <c r="H294" s="21"/>
      <c r="J294" s="7"/>
      <c r="N294" s="21"/>
      <c r="R294" s="24"/>
    </row>
    <row r="295" spans="2:18" ht="10.5" hidden="1">
      <c r="B295" s="19" t="s">
        <v>123</v>
      </c>
      <c r="F295" s="21">
        <f>'Текущие концовки'!F79</f>
        <v>0</v>
      </c>
      <c r="G295" s="21"/>
      <c r="H295" s="21"/>
      <c r="J295" s="7"/>
      <c r="N295" s="21"/>
      <c r="R295" s="24"/>
    </row>
    <row r="296" spans="2:18" ht="21" hidden="1">
      <c r="B296" s="19" t="s">
        <v>124</v>
      </c>
      <c r="F296" s="21">
        <f>'Текущие концовки'!F80</f>
        <v>0</v>
      </c>
      <c r="G296" s="21">
        <f>'Текущие концовки'!G80</f>
        <v>0</v>
      </c>
      <c r="H296" s="21">
        <f>'Текущие концовки'!H80</f>
        <v>0</v>
      </c>
      <c r="J296" s="7">
        <f>'Текущие концовки'!J80</f>
        <v>0</v>
      </c>
      <c r="N296" s="21">
        <f>'Текущие концовки'!L80</f>
        <v>0</v>
      </c>
      <c r="R296" s="24">
        <f>'Текущие концовки'!M80</f>
        <v>0</v>
      </c>
    </row>
    <row r="297" spans="2:18" ht="10.5" hidden="1">
      <c r="B297" s="19" t="s">
        <v>94</v>
      </c>
      <c r="F297" s="21">
        <f>'Текущие концовки'!F81</f>
        <v>0</v>
      </c>
      <c r="G297" s="21"/>
      <c r="H297" s="21"/>
      <c r="J297" s="7"/>
      <c r="N297" s="21"/>
      <c r="R297" s="24"/>
    </row>
    <row r="298" spans="2:18" ht="10.5">
      <c r="B298" s="19" t="s">
        <v>125</v>
      </c>
      <c r="C298" s="20"/>
      <c r="F298" s="21">
        <f>'Текущие концовки'!F82</f>
        <v>42079.21</v>
      </c>
      <c r="G298" s="21">
        <f>'Текущие концовки'!G82</f>
        <v>0</v>
      </c>
      <c r="H298" s="21">
        <f>'Текущие концовки'!H82</f>
        <v>0</v>
      </c>
      <c r="J298" s="7">
        <f>'Текущие концовки'!J82</f>
        <v>0</v>
      </c>
      <c r="N298" s="21">
        <f>'Текущие концовки'!L82</f>
        <v>0</v>
      </c>
      <c r="R298" s="24">
        <f>'Текущие концовки'!M82</f>
        <v>0</v>
      </c>
    </row>
    <row r="299" spans="2:18" ht="21" hidden="1">
      <c r="B299" s="19" t="s">
        <v>126</v>
      </c>
      <c r="F299" s="21">
        <f>'Текущие концовки'!F83</f>
        <v>0</v>
      </c>
      <c r="G299" s="21"/>
      <c r="H299" s="21"/>
      <c r="J299" s="7"/>
      <c r="N299" s="21"/>
      <c r="R299" s="24"/>
    </row>
    <row r="300" spans="2:18" ht="10.5">
      <c r="B300" s="19" t="s">
        <v>127</v>
      </c>
      <c r="C300" s="20"/>
      <c r="F300" s="21">
        <f>'Текущие концовки'!F84</f>
        <v>3587.94</v>
      </c>
      <c r="G300" s="21"/>
      <c r="H300" s="21"/>
      <c r="J300" s="7"/>
      <c r="N300" s="21"/>
      <c r="R300" s="24"/>
    </row>
    <row r="301" spans="2:18" ht="10.5">
      <c r="B301" s="19" t="s">
        <v>128</v>
      </c>
      <c r="C301" s="20"/>
      <c r="F301" s="21">
        <f>'Текущие концовки'!F85</f>
        <v>2759.34</v>
      </c>
      <c r="G301" s="21"/>
      <c r="H301" s="21"/>
      <c r="J301" s="7"/>
      <c r="N301" s="21"/>
      <c r="R301" s="24"/>
    </row>
    <row r="302" spans="2:18" ht="21" hidden="1">
      <c r="B302" s="19" t="s">
        <v>37</v>
      </c>
      <c r="F302" s="21">
        <f>'Текущие концовки'!F86</f>
        <v>0</v>
      </c>
      <c r="G302" s="21"/>
      <c r="H302" s="21"/>
      <c r="J302" s="7"/>
      <c r="N302" s="21">
        <f>'Текущие концовки'!L86</f>
        <v>0</v>
      </c>
      <c r="R302" s="24"/>
    </row>
    <row r="303" spans="2:18" ht="10.5" hidden="1">
      <c r="B303" s="19" t="s">
        <v>129</v>
      </c>
      <c r="F303" s="21">
        <f>'Текущие концовки'!F87</f>
        <v>0</v>
      </c>
      <c r="G303" s="21"/>
      <c r="H303" s="21"/>
      <c r="J303" s="7"/>
      <c r="N303" s="21">
        <f>'Текущие концовки'!L87</f>
        <v>0</v>
      </c>
      <c r="R303" s="24"/>
    </row>
    <row r="304" spans="2:18" ht="10.5" hidden="1">
      <c r="B304" s="19" t="s">
        <v>130</v>
      </c>
      <c r="C304" s="20"/>
      <c r="F304" s="21">
        <f>'Текущие концовки'!F88</f>
        <v>3885.31</v>
      </c>
      <c r="G304" s="21"/>
      <c r="H304" s="21"/>
      <c r="J304" s="7"/>
      <c r="N304" s="21"/>
      <c r="R304" s="24"/>
    </row>
    <row r="305" spans="2:18" ht="10.5" hidden="1">
      <c r="B305" s="19" t="s">
        <v>131</v>
      </c>
      <c r="C305" s="20"/>
      <c r="F305" s="21">
        <f>'Текущие концовки'!F89</f>
        <v>811.7</v>
      </c>
      <c r="G305" s="21"/>
      <c r="H305" s="21"/>
      <c r="J305" s="7"/>
      <c r="N305" s="21"/>
      <c r="R305" s="24"/>
    </row>
    <row r="306" spans="2:18" ht="10.5" hidden="1">
      <c r="B306" s="19" t="s">
        <v>132</v>
      </c>
      <c r="C306" s="20"/>
      <c r="F306" s="21">
        <f>'Текущие концовки'!F90</f>
        <v>4697.01</v>
      </c>
      <c r="G306" s="21"/>
      <c r="H306" s="21"/>
      <c r="J306" s="7"/>
      <c r="N306" s="21"/>
      <c r="R306" s="24"/>
    </row>
    <row r="307" spans="2:18" ht="10.5" hidden="1">
      <c r="B307" s="19" t="s">
        <v>133</v>
      </c>
      <c r="C307" s="20"/>
      <c r="F307" s="21"/>
      <c r="G307" s="21"/>
      <c r="H307" s="21"/>
      <c r="J307" s="7">
        <f>'Текущие концовки'!J91</f>
        <v>16.47437</v>
      </c>
      <c r="N307" s="21"/>
      <c r="R307" s="24"/>
    </row>
    <row r="308" spans="2:18" ht="10.5" hidden="1">
      <c r="B308" s="19" t="s">
        <v>134</v>
      </c>
      <c r="C308" s="20"/>
      <c r="F308" s="21"/>
      <c r="G308" s="21"/>
      <c r="H308" s="21"/>
      <c r="J308" s="7">
        <f>'Текущие концовки'!J92</f>
        <v>2.835925</v>
      </c>
      <c r="N308" s="21"/>
      <c r="R308" s="24"/>
    </row>
    <row r="309" spans="2:18" ht="10.5" hidden="1">
      <c r="B309" s="19" t="s">
        <v>135</v>
      </c>
      <c r="C309" s="20"/>
      <c r="F309" s="21"/>
      <c r="G309" s="21"/>
      <c r="H309" s="21"/>
      <c r="J309" s="7">
        <f>'Текущие концовки'!J93</f>
        <v>19.310295</v>
      </c>
      <c r="N309" s="21"/>
      <c r="R309" s="24"/>
    </row>
    <row r="310" spans="2:18" ht="10.5">
      <c r="B310" s="19" t="s">
        <v>341</v>
      </c>
      <c r="C310" s="20"/>
      <c r="F310" s="21">
        <f>F298*0.2</f>
        <v>8415.842</v>
      </c>
      <c r="G310" s="21"/>
      <c r="H310" s="21"/>
      <c r="J310" s="7"/>
      <c r="N310" s="21"/>
      <c r="R310" s="24"/>
    </row>
    <row r="311" spans="2:18" ht="10.5">
      <c r="B311" s="36" t="s">
        <v>342</v>
      </c>
      <c r="C311" s="20"/>
      <c r="F311" s="38">
        <f>F298+F310</f>
        <v>50495.051999999996</v>
      </c>
      <c r="G311" s="21"/>
      <c r="H311" s="21"/>
      <c r="J311" s="7"/>
      <c r="N311" s="21"/>
      <c r="O311" s="37"/>
      <c r="R311" s="24"/>
    </row>
    <row r="312" spans="2:18" ht="10.5">
      <c r="B312" s="19"/>
      <c r="C312" s="20"/>
      <c r="F312" s="21"/>
      <c r="G312" s="21"/>
      <c r="H312" s="21"/>
      <c r="J312" s="7"/>
      <c r="N312" s="21"/>
      <c r="R312" s="24"/>
    </row>
    <row r="313" spans="2:6" ht="21">
      <c r="B313" s="36" t="s">
        <v>343</v>
      </c>
      <c r="F313" s="39">
        <v>48762.95</v>
      </c>
    </row>
    <row r="314" spans="2:6" ht="36" customHeight="1">
      <c r="B314" s="36" t="s">
        <v>346</v>
      </c>
      <c r="F314" s="39">
        <v>44374.2783</v>
      </c>
    </row>
    <row r="315" spans="2:10" ht="10.5">
      <c r="B315" s="4" t="s">
        <v>136</v>
      </c>
      <c r="C315" s="40"/>
      <c r="D315" s="40"/>
      <c r="E315" s="40"/>
      <c r="F315" s="40"/>
      <c r="G315" s="40"/>
      <c r="H315" s="40"/>
      <c r="I315" s="40"/>
      <c r="J315" s="40"/>
    </row>
    <row r="316" spans="3:12" ht="10.5">
      <c r="C316" s="41" t="s">
        <v>137</v>
      </c>
      <c r="D316" s="41"/>
      <c r="E316" s="41"/>
      <c r="F316" s="41"/>
      <c r="G316" s="41"/>
      <c r="H316" s="41"/>
      <c r="I316" s="41"/>
      <c r="J316" s="41"/>
      <c r="K316" s="41"/>
      <c r="L316" s="41"/>
    </row>
    <row r="318" spans="2:10" ht="10.5">
      <c r="B318" s="4" t="s">
        <v>138</v>
      </c>
      <c r="C318" s="40"/>
      <c r="D318" s="40"/>
      <c r="E318" s="40"/>
      <c r="F318" s="40"/>
      <c r="G318" s="40"/>
      <c r="H318" s="40"/>
      <c r="I318" s="40"/>
      <c r="J318" s="40"/>
    </row>
    <row r="319" spans="3:12" ht="10.5">
      <c r="C319" s="41" t="s">
        <v>137</v>
      </c>
      <c r="D319" s="41"/>
      <c r="E319" s="41"/>
      <c r="F319" s="41"/>
      <c r="G319" s="41"/>
      <c r="H319" s="41"/>
      <c r="I319" s="41"/>
      <c r="J319" s="41"/>
      <c r="K319" s="41"/>
      <c r="L319" s="41"/>
    </row>
    <row r="320" ht="10.5">
      <c r="A320" s="25"/>
    </row>
  </sheetData>
  <sheetProtection/>
  <mergeCells count="107">
    <mergeCell ref="H2:J2"/>
    <mergeCell ref="H9:I9"/>
    <mergeCell ref="H10:I10"/>
    <mergeCell ref="F14:F15"/>
    <mergeCell ref="G14:G15"/>
    <mergeCell ref="F13:H13"/>
    <mergeCell ref="C3:J3"/>
    <mergeCell ref="C4:J4"/>
    <mergeCell ref="A5:J5"/>
    <mergeCell ref="A6:J6"/>
    <mergeCell ref="A7:J7"/>
    <mergeCell ref="A11:J11"/>
    <mergeCell ref="H8:I8"/>
    <mergeCell ref="I13:J13"/>
    <mergeCell ref="I14:J14"/>
    <mergeCell ref="A17:A18"/>
    <mergeCell ref="B17:B18"/>
    <mergeCell ref="C17:C18"/>
    <mergeCell ref="G17:G18"/>
    <mergeCell ref="A13:A15"/>
    <mergeCell ref="B13:B15"/>
    <mergeCell ref="C13:C15"/>
    <mergeCell ref="D13:E13"/>
    <mergeCell ref="N17:N18"/>
    <mergeCell ref="F17:F18"/>
    <mergeCell ref="A36:A37"/>
    <mergeCell ref="B36:B37"/>
    <mergeCell ref="C36:C37"/>
    <mergeCell ref="G36:G37"/>
    <mergeCell ref="N36:N37"/>
    <mergeCell ref="F36:F37"/>
    <mergeCell ref="A54:A55"/>
    <mergeCell ref="B54:B55"/>
    <mergeCell ref="C54:C55"/>
    <mergeCell ref="G54:G55"/>
    <mergeCell ref="N54:N55"/>
    <mergeCell ref="F54:F55"/>
    <mergeCell ref="A73:A74"/>
    <mergeCell ref="B73:B74"/>
    <mergeCell ref="C73:C74"/>
    <mergeCell ref="G73:G74"/>
    <mergeCell ref="N73:N74"/>
    <mergeCell ref="F73:F74"/>
    <mergeCell ref="A92:A93"/>
    <mergeCell ref="B92:B93"/>
    <mergeCell ref="C92:C93"/>
    <mergeCell ref="G92:G93"/>
    <mergeCell ref="N92:N93"/>
    <mergeCell ref="F92:F93"/>
    <mergeCell ref="A110:A111"/>
    <mergeCell ref="B110:B111"/>
    <mergeCell ref="C110:C111"/>
    <mergeCell ref="G110:G111"/>
    <mergeCell ref="N110:N111"/>
    <mergeCell ref="F110:F111"/>
    <mergeCell ref="A128:A129"/>
    <mergeCell ref="B128:B129"/>
    <mergeCell ref="C128:C129"/>
    <mergeCell ref="G128:G129"/>
    <mergeCell ref="N128:N129"/>
    <mergeCell ref="F128:F129"/>
    <mergeCell ref="A147:A148"/>
    <mergeCell ref="B147:B148"/>
    <mergeCell ref="C147:C148"/>
    <mergeCell ref="G147:G148"/>
    <mergeCell ref="N147:N148"/>
    <mergeCell ref="F147:F148"/>
    <mergeCell ref="A165:A166"/>
    <mergeCell ref="B165:B166"/>
    <mergeCell ref="C165:C166"/>
    <mergeCell ref="G165:G166"/>
    <mergeCell ref="N165:N166"/>
    <mergeCell ref="F165:F166"/>
    <mergeCell ref="A183:A184"/>
    <mergeCell ref="B183:B184"/>
    <mergeCell ref="C183:C184"/>
    <mergeCell ref="G183:G184"/>
    <mergeCell ref="N183:N184"/>
    <mergeCell ref="F183:F184"/>
    <mergeCell ref="A202:A203"/>
    <mergeCell ref="B202:B203"/>
    <mergeCell ref="C202:C203"/>
    <mergeCell ref="G202:G203"/>
    <mergeCell ref="N202:N203"/>
    <mergeCell ref="F202:F203"/>
    <mergeCell ref="C220:C221"/>
    <mergeCell ref="F220:F221"/>
    <mergeCell ref="G220:G221"/>
    <mergeCell ref="N220:N221"/>
    <mergeCell ref="I220:I221"/>
    <mergeCell ref="R220:R221"/>
    <mergeCell ref="N250:N251"/>
    <mergeCell ref="I250:I251"/>
    <mergeCell ref="R250:R251"/>
    <mergeCell ref="C242:C243"/>
    <mergeCell ref="F242:F243"/>
    <mergeCell ref="G242:G243"/>
    <mergeCell ref="N242:N243"/>
    <mergeCell ref="I242:I243"/>
    <mergeCell ref="R242:R243"/>
    <mergeCell ref="C315:J315"/>
    <mergeCell ref="C316:L316"/>
    <mergeCell ref="C318:J318"/>
    <mergeCell ref="C319:L319"/>
    <mergeCell ref="C250:C251"/>
    <mergeCell ref="F250:F251"/>
    <mergeCell ref="G250:G251"/>
  </mergeCells>
  <printOptions/>
  <pageMargins left="0.39370078740157477" right="0.39370078740157477" top="0.7874015748031495" bottom="0.39370078740157477" header="0.7874015748031495" footer="0.3937007874015747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K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7" customWidth="1"/>
    <col min="2" max="16384" width="9.140625" style="26" customWidth="1"/>
  </cols>
  <sheetData>
    <row r="1" spans="1:37" s="28" customFormat="1" ht="10.5">
      <c r="A1" s="7"/>
      <c r="B1" s="28" t="s">
        <v>139</v>
      </c>
      <c r="C1" s="28" t="s">
        <v>140</v>
      </c>
      <c r="D1" s="28" t="s">
        <v>141</v>
      </c>
      <c r="E1" s="28" t="s">
        <v>142</v>
      </c>
      <c r="F1" s="28" t="s">
        <v>143</v>
      </c>
      <c r="G1" s="28" t="s">
        <v>144</v>
      </c>
      <c r="H1" s="28" t="s">
        <v>145</v>
      </c>
      <c r="I1" s="28" t="s">
        <v>146</v>
      </c>
      <c r="J1" s="28" t="s">
        <v>147</v>
      </c>
      <c r="K1" s="28" t="s">
        <v>148</v>
      </c>
      <c r="L1" s="28" t="s">
        <v>149</v>
      </c>
      <c r="M1" s="28" t="s">
        <v>150</v>
      </c>
      <c r="N1" s="28" t="s">
        <v>151</v>
      </c>
      <c r="O1" s="28" t="s">
        <v>152</v>
      </c>
      <c r="P1" s="28" t="s">
        <v>153</v>
      </c>
      <c r="Q1" s="28" t="s">
        <v>154</v>
      </c>
      <c r="R1" s="28" t="s">
        <v>155</v>
      </c>
      <c r="S1" s="28" t="s">
        <v>156</v>
      </c>
      <c r="T1" s="28" t="s">
        <v>157</v>
      </c>
      <c r="U1" s="28" t="s">
        <v>158</v>
      </c>
      <c r="V1" s="28" t="s">
        <v>159</v>
      </c>
      <c r="X1" s="28" t="s">
        <v>160</v>
      </c>
      <c r="Y1" s="28" t="s">
        <v>161</v>
      </c>
      <c r="Z1" s="28" t="s">
        <v>162</v>
      </c>
      <c r="AA1" s="28" t="s">
        <v>163</v>
      </c>
      <c r="AB1" s="28" t="s">
        <v>164</v>
      </c>
      <c r="AC1" s="28" t="s">
        <v>165</v>
      </c>
      <c r="AD1" s="28" t="s">
        <v>166</v>
      </c>
      <c r="AE1" s="28" t="s">
        <v>167</v>
      </c>
      <c r="AF1" s="28" t="s">
        <v>168</v>
      </c>
      <c r="AG1" s="28" t="s">
        <v>169</v>
      </c>
      <c r="AH1" s="28" t="s">
        <v>170</v>
      </c>
      <c r="AI1" s="28" t="s">
        <v>171</v>
      </c>
      <c r="AJ1" s="28" t="s">
        <v>172</v>
      </c>
      <c r="AK1" s="28" t="s">
        <v>173</v>
      </c>
    </row>
    <row r="2" spans="1:10" ht="10.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0.5">
      <c r="A3" s="29"/>
      <c r="B3" s="66" t="s">
        <v>174</v>
      </c>
      <c r="C3" s="66"/>
      <c r="D3" s="66"/>
      <c r="E3" s="66"/>
      <c r="F3" s="66"/>
      <c r="G3" s="66"/>
      <c r="H3" s="66"/>
      <c r="I3" s="66"/>
      <c r="J3" s="66"/>
    </row>
    <row r="4" spans="1:10" ht="10.5">
      <c r="A4" s="29"/>
      <c r="B4" s="66" t="s">
        <v>175</v>
      </c>
      <c r="C4" s="66"/>
      <c r="D4" s="66"/>
      <c r="E4" s="66"/>
      <c r="F4" s="66"/>
      <c r="G4" s="66"/>
      <c r="H4" s="66"/>
      <c r="I4" s="66"/>
      <c r="J4" s="66"/>
    </row>
    <row r="5" spans="1:10" ht="10.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37" ht="10.5">
      <c r="A6" s="26" t="str">
        <f>'Форма 4'!A17</f>
        <v>1.</v>
      </c>
      <c r="B6" s="26">
        <f aca="true" t="shared" si="0" ref="B6:B16">ROUND(C6+D6+F6+AF6+AG6,2)</f>
        <v>2281.99</v>
      </c>
      <c r="C6" s="26">
        <v>126.07</v>
      </c>
      <c r="D6" s="26">
        <v>2143.72</v>
      </c>
      <c r="E6" s="26">
        <v>177.59</v>
      </c>
      <c r="F6" s="26">
        <v>12.2</v>
      </c>
      <c r="G6" s="26">
        <v>0</v>
      </c>
      <c r="H6" s="26">
        <v>0</v>
      </c>
      <c r="I6" s="27">
        <f>'Форма 4'!I17</f>
        <v>15.72</v>
      </c>
      <c r="J6" s="27">
        <v>0</v>
      </c>
      <c r="K6" s="27">
        <f>'Форма 4'!I18</f>
        <v>13.88</v>
      </c>
      <c r="L6" s="26">
        <v>0</v>
      </c>
      <c r="M6" s="26">
        <v>0</v>
      </c>
      <c r="N6" s="26">
        <v>388.07748</v>
      </c>
      <c r="O6" s="26">
        <v>245.20545</v>
      </c>
      <c r="P6" s="26">
        <v>161.11746</v>
      </c>
      <c r="Q6" s="26">
        <v>226.96002</v>
      </c>
      <c r="R6" s="26">
        <v>101.801525</v>
      </c>
      <c r="S6" s="26">
        <v>143.403925</v>
      </c>
      <c r="T6" s="26">
        <v>0</v>
      </c>
      <c r="U6" s="26">
        <v>0</v>
      </c>
      <c r="V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H6" s="26">
        <v>0</v>
      </c>
      <c r="AI6" s="26">
        <v>0</v>
      </c>
      <c r="AJ6" s="26">
        <v>0</v>
      </c>
      <c r="AK6" s="26">
        <v>0</v>
      </c>
    </row>
    <row r="7" spans="1:37" ht="10.5">
      <c r="A7" s="26" t="str">
        <f>'Форма 4'!A36</f>
        <v>2.</v>
      </c>
      <c r="B7" s="26">
        <f t="shared" si="0"/>
        <v>387.18</v>
      </c>
      <c r="C7" s="26">
        <v>106.88</v>
      </c>
      <c r="D7" s="26">
        <v>280.3</v>
      </c>
      <c r="E7" s="26">
        <v>30.58</v>
      </c>
      <c r="F7" s="26">
        <v>0</v>
      </c>
      <c r="G7" s="26">
        <v>0</v>
      </c>
      <c r="H7" s="26">
        <v>0</v>
      </c>
      <c r="I7" s="27">
        <f>'Форма 4'!I36</f>
        <v>12.53</v>
      </c>
      <c r="J7" s="27">
        <v>0</v>
      </c>
      <c r="K7" s="27">
        <f>'Форма 4'!I37</f>
        <v>3.04</v>
      </c>
      <c r="L7" s="26">
        <v>0</v>
      </c>
      <c r="M7" s="26">
        <v>0</v>
      </c>
      <c r="N7" s="26">
        <v>117.5283</v>
      </c>
      <c r="O7" s="26">
        <v>58.4205</v>
      </c>
      <c r="P7" s="26">
        <v>91.3824</v>
      </c>
      <c r="Q7" s="26">
        <v>26.1459</v>
      </c>
      <c r="R7" s="26">
        <v>45.424</v>
      </c>
      <c r="S7" s="26">
        <v>12.9965</v>
      </c>
      <c r="T7" s="26">
        <v>0</v>
      </c>
      <c r="U7" s="26">
        <v>0</v>
      </c>
      <c r="V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H7" s="26">
        <v>0</v>
      </c>
      <c r="AI7" s="26">
        <v>0</v>
      </c>
      <c r="AJ7" s="26">
        <v>0</v>
      </c>
      <c r="AK7" s="26">
        <v>0</v>
      </c>
    </row>
    <row r="8" spans="1:37" ht="10.5">
      <c r="A8" s="26" t="str">
        <f>'Форма 4'!A54</f>
        <v>3.</v>
      </c>
      <c r="B8" s="26">
        <f t="shared" si="0"/>
        <v>27.16</v>
      </c>
      <c r="C8" s="26">
        <v>0</v>
      </c>
      <c r="D8" s="26">
        <v>27.16</v>
      </c>
      <c r="E8" s="26">
        <v>0</v>
      </c>
      <c r="F8" s="26">
        <v>0</v>
      </c>
      <c r="G8" s="26">
        <v>0</v>
      </c>
      <c r="H8" s="26">
        <v>0</v>
      </c>
      <c r="I8" s="27">
        <f>'Форма 4'!I54</f>
        <v>0</v>
      </c>
      <c r="J8" s="27">
        <v>0</v>
      </c>
      <c r="K8" s="27">
        <f>'Форма 4'!I55</f>
        <v>0</v>
      </c>
      <c r="L8" s="26">
        <v>0</v>
      </c>
      <c r="M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H8" s="26">
        <v>0</v>
      </c>
      <c r="AI8" s="26">
        <v>0</v>
      </c>
      <c r="AJ8" s="26">
        <v>0</v>
      </c>
      <c r="AK8" s="26">
        <v>0</v>
      </c>
    </row>
    <row r="9" spans="1:37" ht="10.5">
      <c r="A9" s="26" t="str">
        <f>'Форма 4'!A73</f>
        <v>4.</v>
      </c>
      <c r="B9" s="26">
        <f t="shared" si="0"/>
        <v>4904.25</v>
      </c>
      <c r="C9" s="26">
        <v>1263.54</v>
      </c>
      <c r="D9" s="26">
        <v>3640.71</v>
      </c>
      <c r="E9" s="26">
        <v>541.71</v>
      </c>
      <c r="F9" s="26">
        <v>0</v>
      </c>
      <c r="G9" s="26">
        <v>0</v>
      </c>
      <c r="H9" s="26">
        <v>0</v>
      </c>
      <c r="I9" s="27">
        <f>'Форма 4'!I73</f>
        <v>137.64</v>
      </c>
      <c r="J9" s="27">
        <v>0</v>
      </c>
      <c r="K9" s="27">
        <f>'Форма 4'!I74</f>
        <v>42.11</v>
      </c>
      <c r="L9" s="26">
        <v>0</v>
      </c>
      <c r="M9" s="26">
        <v>0</v>
      </c>
      <c r="N9" s="26">
        <v>2307.1095</v>
      </c>
      <c r="O9" s="26">
        <v>1457.739375</v>
      </c>
      <c r="P9" s="26">
        <v>1614.80412</v>
      </c>
      <c r="Q9" s="26">
        <v>692.30538</v>
      </c>
      <c r="R9" s="26">
        <v>1020.30855</v>
      </c>
      <c r="S9" s="26">
        <v>437.430825</v>
      </c>
      <c r="T9" s="26">
        <v>0</v>
      </c>
      <c r="U9" s="26">
        <v>0</v>
      </c>
      <c r="V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H9" s="26">
        <v>0</v>
      </c>
      <c r="AI9" s="26">
        <v>0</v>
      </c>
      <c r="AJ9" s="26">
        <v>0</v>
      </c>
      <c r="AK9" s="26">
        <v>0</v>
      </c>
    </row>
    <row r="10" spans="1:37" ht="10.5">
      <c r="A10" s="26" t="str">
        <f>'Форма 4'!A92</f>
        <v>5.</v>
      </c>
      <c r="B10" s="26">
        <f t="shared" si="0"/>
        <v>17000</v>
      </c>
      <c r="C10" s="26">
        <v>0</v>
      </c>
      <c r="D10" s="26">
        <v>0</v>
      </c>
      <c r="E10" s="26">
        <v>0</v>
      </c>
      <c r="F10" s="26">
        <v>17000</v>
      </c>
      <c r="G10" s="26">
        <v>0</v>
      </c>
      <c r="H10" s="26">
        <v>0</v>
      </c>
      <c r="I10" s="27">
        <f>'Форма 4'!I92</f>
        <v>0</v>
      </c>
      <c r="J10" s="27">
        <v>0</v>
      </c>
      <c r="K10" s="27">
        <f>'Форма 4'!I93</f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H10" s="26">
        <v>0</v>
      </c>
      <c r="AI10" s="26">
        <v>0</v>
      </c>
      <c r="AJ10" s="26">
        <v>0</v>
      </c>
      <c r="AK10" s="26">
        <v>0</v>
      </c>
    </row>
    <row r="11" spans="1:37" ht="10.5">
      <c r="A11" s="26" t="str">
        <f>'Форма 4'!A110</f>
        <v>6.</v>
      </c>
      <c r="B11" s="26">
        <f t="shared" si="0"/>
        <v>42.92</v>
      </c>
      <c r="C11" s="26">
        <v>0</v>
      </c>
      <c r="D11" s="26">
        <v>42.92</v>
      </c>
      <c r="E11" s="26">
        <v>0</v>
      </c>
      <c r="F11" s="26">
        <v>0</v>
      </c>
      <c r="G11" s="26">
        <v>0</v>
      </c>
      <c r="H11" s="26">
        <v>0</v>
      </c>
      <c r="I11" s="27">
        <f>'Форма 4'!I110</f>
        <v>0</v>
      </c>
      <c r="J11" s="27">
        <v>0</v>
      </c>
      <c r="K11" s="27">
        <f>'Форма 4'!I111</f>
        <v>0</v>
      </c>
      <c r="L11" s="26">
        <v>0</v>
      </c>
      <c r="M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H11" s="26">
        <v>0</v>
      </c>
      <c r="AI11" s="26">
        <v>0</v>
      </c>
      <c r="AJ11" s="26">
        <v>0</v>
      </c>
      <c r="AK11" s="26">
        <v>0</v>
      </c>
    </row>
    <row r="12" spans="1:37" ht="10.5">
      <c r="A12" s="26" t="str">
        <f>'Форма 4'!A128</f>
        <v>7.</v>
      </c>
      <c r="B12" s="26">
        <f t="shared" si="0"/>
        <v>767.03</v>
      </c>
      <c r="C12" s="26">
        <v>182.17</v>
      </c>
      <c r="D12" s="26">
        <v>235.79</v>
      </c>
      <c r="E12" s="26">
        <v>19.67</v>
      </c>
      <c r="F12" s="26">
        <v>349.07</v>
      </c>
      <c r="G12" s="26">
        <v>0</v>
      </c>
      <c r="H12" s="26">
        <v>0</v>
      </c>
      <c r="I12" s="27">
        <f>'Форма 4'!I128</f>
        <v>19.38</v>
      </c>
      <c r="J12" s="27">
        <v>0</v>
      </c>
      <c r="K12" s="27">
        <f>'Форма 4'!I129</f>
        <v>1.47</v>
      </c>
      <c r="L12" s="26">
        <v>0</v>
      </c>
      <c r="M12" s="26">
        <v>0</v>
      </c>
      <c r="N12" s="26">
        <v>163.4904</v>
      </c>
      <c r="O12" s="26">
        <v>145.8294</v>
      </c>
      <c r="P12" s="26">
        <v>147.5577</v>
      </c>
      <c r="Q12" s="26">
        <v>15.9327</v>
      </c>
      <c r="R12" s="26">
        <v>131.617825</v>
      </c>
      <c r="S12" s="26">
        <v>14.211575</v>
      </c>
      <c r="T12" s="26">
        <v>0</v>
      </c>
      <c r="U12" s="26">
        <v>0</v>
      </c>
      <c r="V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H12" s="26">
        <v>0</v>
      </c>
      <c r="AI12" s="26">
        <v>0</v>
      </c>
      <c r="AJ12" s="26">
        <v>0</v>
      </c>
      <c r="AK12" s="26">
        <v>0</v>
      </c>
    </row>
    <row r="13" spans="1:37" ht="10.5">
      <c r="A13" s="26" t="str">
        <f>'Форма 4'!A147</f>
        <v>8.</v>
      </c>
      <c r="B13" s="26">
        <f t="shared" si="0"/>
        <v>39.61</v>
      </c>
      <c r="C13" s="26">
        <v>0</v>
      </c>
      <c r="D13" s="26">
        <v>0</v>
      </c>
      <c r="E13" s="26">
        <v>0</v>
      </c>
      <c r="F13" s="26">
        <v>39.61</v>
      </c>
      <c r="G13" s="26">
        <v>38.73</v>
      </c>
      <c r="H13" s="26">
        <v>0</v>
      </c>
      <c r="I13" s="27">
        <f>'Форма 4'!I147</f>
        <v>0</v>
      </c>
      <c r="J13" s="27">
        <v>0</v>
      </c>
      <c r="K13" s="27">
        <f>'Форма 4'!I148</f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H13" s="26">
        <v>0</v>
      </c>
      <c r="AI13" s="26">
        <v>0</v>
      </c>
      <c r="AJ13" s="26">
        <v>0</v>
      </c>
      <c r="AK13" s="26">
        <v>0</v>
      </c>
    </row>
    <row r="14" spans="1:37" ht="10.5">
      <c r="A14" s="26" t="str">
        <f>'Форма 4'!A165</f>
        <v>9.</v>
      </c>
      <c r="B14" s="26">
        <f t="shared" si="0"/>
        <v>3497.83</v>
      </c>
      <c r="C14" s="26">
        <v>954.89</v>
      </c>
      <c r="D14" s="26">
        <v>2389.43</v>
      </c>
      <c r="E14" s="26">
        <v>229.05</v>
      </c>
      <c r="F14" s="26">
        <v>153.51</v>
      </c>
      <c r="G14" s="26">
        <v>0</v>
      </c>
      <c r="H14" s="26">
        <v>0</v>
      </c>
      <c r="I14" s="27">
        <f>'Форма 4'!I165</f>
        <v>105.28</v>
      </c>
      <c r="J14" s="27">
        <v>0</v>
      </c>
      <c r="K14" s="27">
        <f>'Форма 4'!I166</f>
        <v>16.9</v>
      </c>
      <c r="L14" s="26">
        <v>0</v>
      </c>
      <c r="M14" s="26">
        <v>0</v>
      </c>
      <c r="N14" s="26">
        <v>958.9914</v>
      </c>
      <c r="O14" s="26">
        <v>855.39665</v>
      </c>
      <c r="P14" s="26">
        <v>773.4609</v>
      </c>
      <c r="Q14" s="26">
        <v>185.5305</v>
      </c>
      <c r="R14" s="26">
        <v>689.908025</v>
      </c>
      <c r="S14" s="26">
        <v>165.488625</v>
      </c>
      <c r="T14" s="26">
        <v>0</v>
      </c>
      <c r="U14" s="26">
        <v>0</v>
      </c>
      <c r="V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H14" s="26">
        <v>0</v>
      </c>
      <c r="AI14" s="26">
        <v>0</v>
      </c>
      <c r="AJ14" s="26">
        <v>0</v>
      </c>
      <c r="AK14" s="26">
        <v>0</v>
      </c>
    </row>
    <row r="15" spans="1:37" ht="10.5">
      <c r="A15" s="26" t="str">
        <f>'Форма 4'!A183</f>
        <v>10.</v>
      </c>
      <c r="B15" s="26">
        <f t="shared" si="0"/>
        <v>11200</v>
      </c>
      <c r="C15" s="26">
        <v>0</v>
      </c>
      <c r="D15" s="26">
        <v>0</v>
      </c>
      <c r="E15" s="26">
        <v>0</v>
      </c>
      <c r="F15" s="26">
        <v>11200</v>
      </c>
      <c r="G15" s="26">
        <v>10945.88</v>
      </c>
      <c r="H15" s="26">
        <v>0</v>
      </c>
      <c r="I15" s="27">
        <f>'Форма 4'!I183</f>
        <v>0</v>
      </c>
      <c r="J15" s="27">
        <v>0</v>
      </c>
      <c r="K15" s="27">
        <f>'Форма 4'!I184</f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H15" s="26">
        <v>0</v>
      </c>
      <c r="AI15" s="26">
        <v>0</v>
      </c>
      <c r="AJ15" s="26">
        <v>0</v>
      </c>
      <c r="AK15" s="26">
        <v>0</v>
      </c>
    </row>
    <row r="16" spans="1:37" ht="10.5">
      <c r="A16" s="26" t="str">
        <f>'Форма 4'!A202</f>
        <v>11.</v>
      </c>
      <c r="B16" s="26">
        <f t="shared" si="0"/>
        <v>3.05</v>
      </c>
      <c r="C16" s="26">
        <v>3.05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>
        <f>'Форма 4'!I202</f>
        <v>0.34</v>
      </c>
      <c r="J16" s="27">
        <v>0</v>
      </c>
      <c r="K16" s="27">
        <f>'Форма 4'!I203</f>
        <v>0</v>
      </c>
      <c r="L16" s="26">
        <v>0</v>
      </c>
      <c r="M16" s="26">
        <v>0</v>
      </c>
      <c r="N16" s="26">
        <v>2.4705</v>
      </c>
      <c r="O16" s="26">
        <v>2.203625</v>
      </c>
      <c r="P16" s="26">
        <v>2.4705</v>
      </c>
      <c r="Q16" s="26">
        <v>0</v>
      </c>
      <c r="R16" s="26">
        <v>2.203625</v>
      </c>
      <c r="S16" s="26">
        <v>0</v>
      </c>
      <c r="T16" s="26">
        <v>0</v>
      </c>
      <c r="U16" s="26">
        <v>0</v>
      </c>
      <c r="V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H16" s="26">
        <v>0</v>
      </c>
      <c r="AI16" s="26">
        <v>0</v>
      </c>
      <c r="AJ16" s="26">
        <v>0</v>
      </c>
      <c r="AK16" s="26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K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7" customWidth="1"/>
    <col min="2" max="16384" width="9.140625" style="26" customWidth="1"/>
  </cols>
  <sheetData>
    <row r="1" spans="1:37" s="28" customFormat="1" ht="10.5">
      <c r="A1" s="7"/>
      <c r="B1" s="28" t="s">
        <v>139</v>
      </c>
      <c r="C1" s="28" t="s">
        <v>140</v>
      </c>
      <c r="D1" s="28" t="s">
        <v>141</v>
      </c>
      <c r="E1" s="28" t="s">
        <v>142</v>
      </c>
      <c r="F1" s="28" t="s">
        <v>143</v>
      </c>
      <c r="G1" s="28" t="s">
        <v>144</v>
      </c>
      <c r="H1" s="28" t="s">
        <v>145</v>
      </c>
      <c r="I1" s="28" t="s">
        <v>146</v>
      </c>
      <c r="J1" s="28" t="s">
        <v>147</v>
      </c>
      <c r="K1" s="28" t="s">
        <v>148</v>
      </c>
      <c r="L1" s="28" t="s">
        <v>149</v>
      </c>
      <c r="M1" s="28" t="s">
        <v>150</v>
      </c>
      <c r="N1" s="28" t="s">
        <v>151</v>
      </c>
      <c r="O1" s="28" t="s">
        <v>152</v>
      </c>
      <c r="P1" s="28" t="s">
        <v>153</v>
      </c>
      <c r="Q1" s="28" t="s">
        <v>154</v>
      </c>
      <c r="R1" s="28" t="s">
        <v>155</v>
      </c>
      <c r="S1" s="28" t="s">
        <v>156</v>
      </c>
      <c r="T1" s="28" t="s">
        <v>157</v>
      </c>
      <c r="U1" s="28" t="s">
        <v>158</v>
      </c>
      <c r="V1" s="28" t="s">
        <v>159</v>
      </c>
      <c r="X1" s="28" t="s">
        <v>160</v>
      </c>
      <c r="Y1" s="28" t="s">
        <v>161</v>
      </c>
      <c r="Z1" s="28" t="s">
        <v>162</v>
      </c>
      <c r="AA1" s="28" t="s">
        <v>163</v>
      </c>
      <c r="AB1" s="28" t="s">
        <v>164</v>
      </c>
      <c r="AC1" s="28" t="s">
        <v>165</v>
      </c>
      <c r="AD1" s="28" t="s">
        <v>166</v>
      </c>
      <c r="AE1" s="28" t="s">
        <v>167</v>
      </c>
      <c r="AF1" s="28" t="s">
        <v>168</v>
      </c>
      <c r="AG1" s="28" t="s">
        <v>169</v>
      </c>
      <c r="AH1" s="28" t="s">
        <v>170</v>
      </c>
      <c r="AI1" s="28" t="s">
        <v>171</v>
      </c>
      <c r="AJ1" s="28" t="s">
        <v>172</v>
      </c>
      <c r="AK1" s="28" t="s">
        <v>173</v>
      </c>
    </row>
    <row r="2" spans="1:10" ht="10.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0.5">
      <c r="A3" s="29"/>
      <c r="B3" s="66" t="s">
        <v>174</v>
      </c>
      <c r="C3" s="66"/>
      <c r="D3" s="66"/>
      <c r="E3" s="66"/>
      <c r="F3" s="66"/>
      <c r="G3" s="66"/>
      <c r="H3" s="66"/>
      <c r="I3" s="66"/>
      <c r="J3" s="66"/>
    </row>
    <row r="4" spans="1:10" ht="10.5">
      <c r="A4" s="29"/>
      <c r="B4" s="66" t="s">
        <v>175</v>
      </c>
      <c r="C4" s="66"/>
      <c r="D4" s="66"/>
      <c r="E4" s="66"/>
      <c r="F4" s="66"/>
      <c r="G4" s="66"/>
      <c r="H4" s="66"/>
      <c r="I4" s="66"/>
      <c r="J4" s="66"/>
    </row>
    <row r="5" spans="1:10" ht="10.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37" ht="10.5">
      <c r="A6" s="26" t="str">
        <f>'Форма 4'!A17</f>
        <v>1.</v>
      </c>
      <c r="B6" s="26">
        <f aca="true" t="shared" si="0" ref="B6:B16">ROUND(C6+D6+F6+AF6+AG6,2)</f>
        <v>26509.98</v>
      </c>
      <c r="C6" s="26">
        <v>3270.23</v>
      </c>
      <c r="D6" s="26">
        <v>23067.75</v>
      </c>
      <c r="E6" s="26">
        <v>3972.73</v>
      </c>
      <c r="F6" s="26">
        <v>172</v>
      </c>
      <c r="G6" s="26">
        <v>0</v>
      </c>
      <c r="H6" s="26">
        <v>0</v>
      </c>
      <c r="I6" s="27">
        <f>'Форма 4'!I17</f>
        <v>15.72</v>
      </c>
      <c r="J6" s="27">
        <v>0</v>
      </c>
      <c r="K6" s="27">
        <f>'Форма 4'!I18</f>
        <v>13.88</v>
      </c>
      <c r="L6" s="26">
        <v>0</v>
      </c>
      <c r="M6" s="26">
        <v>0</v>
      </c>
      <c r="N6" s="26">
        <v>7868.027448</v>
      </c>
      <c r="O6" s="26">
        <v>4678.95216</v>
      </c>
      <c r="P6" s="26">
        <v>3552.450849</v>
      </c>
      <c r="Q6" s="26">
        <v>4315.576599</v>
      </c>
      <c r="R6" s="26">
        <v>2112.56858</v>
      </c>
      <c r="S6" s="26">
        <v>2566.38358</v>
      </c>
      <c r="T6" s="26">
        <v>0</v>
      </c>
      <c r="U6" s="26">
        <v>0</v>
      </c>
      <c r="V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H6" s="26">
        <v>0</v>
      </c>
      <c r="AI6" s="26">
        <v>0</v>
      </c>
      <c r="AJ6" s="26">
        <v>0</v>
      </c>
      <c r="AK6" s="26">
        <v>0</v>
      </c>
    </row>
    <row r="7" spans="1:37" ht="10.5">
      <c r="A7" s="26" t="str">
        <f>'Форма 4'!A36</f>
        <v>2.</v>
      </c>
      <c r="B7" s="26">
        <f t="shared" si="0"/>
        <v>13673.45</v>
      </c>
      <c r="C7" s="26">
        <v>2776.65</v>
      </c>
      <c r="D7" s="26">
        <v>10896.8</v>
      </c>
      <c r="E7" s="26">
        <v>870.11</v>
      </c>
      <c r="F7" s="26">
        <v>0</v>
      </c>
      <c r="G7" s="26">
        <v>0</v>
      </c>
      <c r="H7" s="26">
        <v>0</v>
      </c>
      <c r="I7" s="27">
        <f>'Форма 4'!I36</f>
        <v>12.53</v>
      </c>
      <c r="J7" s="27">
        <v>0</v>
      </c>
      <c r="K7" s="27">
        <f>'Форма 4'!I37</f>
        <v>3.04</v>
      </c>
      <c r="L7" s="26">
        <v>0</v>
      </c>
      <c r="M7" s="26">
        <v>0</v>
      </c>
      <c r="N7" s="26">
        <v>2650.465168</v>
      </c>
      <c r="O7" s="26">
        <v>1239.8984</v>
      </c>
      <c r="P7" s="26">
        <v>2018.06922</v>
      </c>
      <c r="Q7" s="26">
        <v>632.395948</v>
      </c>
      <c r="R7" s="26">
        <v>944.061</v>
      </c>
      <c r="S7" s="26">
        <v>295.8374</v>
      </c>
      <c r="T7" s="26">
        <v>0</v>
      </c>
      <c r="U7" s="26">
        <v>0</v>
      </c>
      <c r="V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H7" s="26">
        <v>0</v>
      </c>
      <c r="AI7" s="26">
        <v>0</v>
      </c>
      <c r="AJ7" s="26">
        <v>0</v>
      </c>
      <c r="AK7" s="26">
        <v>0</v>
      </c>
    </row>
    <row r="8" spans="1:37" ht="10.5">
      <c r="A8" s="26" t="str">
        <f>'Форма 4'!A54</f>
        <v>3.</v>
      </c>
      <c r="B8" s="26">
        <f t="shared" si="0"/>
        <v>262.62</v>
      </c>
      <c r="C8" s="26">
        <v>0</v>
      </c>
      <c r="D8" s="26">
        <v>262.62</v>
      </c>
      <c r="E8" s="26">
        <v>0</v>
      </c>
      <c r="F8" s="26">
        <v>0</v>
      </c>
      <c r="G8" s="26">
        <v>0</v>
      </c>
      <c r="H8" s="26">
        <v>0</v>
      </c>
      <c r="I8" s="27">
        <f>'Форма 4'!I54</f>
        <v>0</v>
      </c>
      <c r="J8" s="27">
        <v>0</v>
      </c>
      <c r="K8" s="27">
        <f>'Форма 4'!I55</f>
        <v>0</v>
      </c>
      <c r="L8" s="26">
        <v>0</v>
      </c>
      <c r="M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H8" s="26">
        <v>0</v>
      </c>
      <c r="AI8" s="26">
        <v>0</v>
      </c>
      <c r="AJ8" s="26">
        <v>0</v>
      </c>
      <c r="AK8" s="26">
        <v>0</v>
      </c>
    </row>
    <row r="9" spans="1:37" ht="10.5">
      <c r="A9" s="26" t="str">
        <f>'Форма 4'!A73</f>
        <v>4.</v>
      </c>
      <c r="B9" s="26">
        <f t="shared" si="0"/>
        <v>82399.73</v>
      </c>
      <c r="C9" s="26">
        <v>32788.6</v>
      </c>
      <c r="D9" s="26">
        <v>49611.13</v>
      </c>
      <c r="E9" s="26">
        <v>12052.72</v>
      </c>
      <c r="F9" s="26">
        <v>0</v>
      </c>
      <c r="G9" s="26">
        <v>0</v>
      </c>
      <c r="H9" s="26">
        <v>0</v>
      </c>
      <c r="I9" s="27">
        <f>'Форма 4'!I73</f>
        <v>137.64</v>
      </c>
      <c r="J9" s="27">
        <v>0</v>
      </c>
      <c r="K9" s="27">
        <f>'Форма 4'!I74</f>
        <v>42.11</v>
      </c>
      <c r="L9" s="26">
        <v>0</v>
      </c>
      <c r="M9" s="26">
        <v>0</v>
      </c>
      <c r="N9" s="26">
        <v>48711.125916</v>
      </c>
      <c r="O9" s="26">
        <v>28967.49272</v>
      </c>
      <c r="P9" s="26">
        <v>35618.25618</v>
      </c>
      <c r="Q9" s="26">
        <v>13092.869736</v>
      </c>
      <c r="R9" s="26">
        <v>21181.4356</v>
      </c>
      <c r="S9" s="26">
        <v>7786.05712</v>
      </c>
      <c r="T9" s="26">
        <v>0</v>
      </c>
      <c r="U9" s="26">
        <v>0</v>
      </c>
      <c r="V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H9" s="26">
        <v>0</v>
      </c>
      <c r="AI9" s="26">
        <v>0</v>
      </c>
      <c r="AJ9" s="26">
        <v>0</v>
      </c>
      <c r="AK9" s="26">
        <v>0</v>
      </c>
    </row>
    <row r="10" spans="1:37" ht="10.5">
      <c r="A10" s="26" t="str">
        <f>'Форма 4'!A92</f>
        <v>5.</v>
      </c>
      <c r="B10" s="26">
        <f t="shared" si="0"/>
        <v>17000</v>
      </c>
      <c r="C10" s="26">
        <v>0</v>
      </c>
      <c r="D10" s="26">
        <v>0</v>
      </c>
      <c r="E10" s="26">
        <v>0</v>
      </c>
      <c r="F10" s="26">
        <v>17000</v>
      </c>
      <c r="G10" s="26">
        <v>0</v>
      </c>
      <c r="H10" s="26">
        <v>0</v>
      </c>
      <c r="I10" s="27">
        <f>'Форма 4'!I92</f>
        <v>0</v>
      </c>
      <c r="J10" s="27">
        <v>0</v>
      </c>
      <c r="K10" s="27">
        <f>'Форма 4'!I93</f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H10" s="26">
        <v>0</v>
      </c>
      <c r="AI10" s="26">
        <v>0</v>
      </c>
      <c r="AJ10" s="26">
        <v>0</v>
      </c>
      <c r="AK10" s="26">
        <v>0</v>
      </c>
    </row>
    <row r="11" spans="1:37" ht="10.5">
      <c r="A11" s="26" t="str">
        <f>'Форма 4'!A110</f>
        <v>6.</v>
      </c>
      <c r="B11" s="26">
        <f t="shared" si="0"/>
        <v>476.3</v>
      </c>
      <c r="C11" s="26">
        <v>0</v>
      </c>
      <c r="D11" s="26">
        <v>476.3</v>
      </c>
      <c r="E11" s="26">
        <v>0</v>
      </c>
      <c r="F11" s="26">
        <v>0</v>
      </c>
      <c r="G11" s="26">
        <v>0</v>
      </c>
      <c r="H11" s="26">
        <v>0</v>
      </c>
      <c r="I11" s="27">
        <f>'Форма 4'!I110</f>
        <v>0</v>
      </c>
      <c r="J11" s="27">
        <v>0</v>
      </c>
      <c r="K11" s="27">
        <f>'Форма 4'!I111</f>
        <v>0</v>
      </c>
      <c r="L11" s="26">
        <v>0</v>
      </c>
      <c r="M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H11" s="26">
        <v>0</v>
      </c>
      <c r="AI11" s="26">
        <v>0</v>
      </c>
      <c r="AJ11" s="26">
        <v>0</v>
      </c>
      <c r="AK11" s="26">
        <v>0</v>
      </c>
    </row>
    <row r="12" spans="1:37" ht="10.5">
      <c r="A12" s="26" t="str">
        <f>'Форма 4'!A128</f>
        <v>7.</v>
      </c>
      <c r="B12" s="26">
        <f t="shared" si="0"/>
        <v>10780.35</v>
      </c>
      <c r="C12" s="26">
        <v>4724.07</v>
      </c>
      <c r="D12" s="26">
        <v>3098.22</v>
      </c>
      <c r="E12" s="26">
        <v>420.74</v>
      </c>
      <c r="F12" s="26">
        <v>2958.06</v>
      </c>
      <c r="G12" s="26">
        <v>0</v>
      </c>
      <c r="H12" s="26">
        <v>0</v>
      </c>
      <c r="I12" s="27">
        <f>'Форма 4'!I128</f>
        <v>19.38</v>
      </c>
      <c r="J12" s="27">
        <v>0</v>
      </c>
      <c r="K12" s="27">
        <f>'Форма 4'!I129</f>
        <v>1.47</v>
      </c>
      <c r="L12" s="26">
        <v>0</v>
      </c>
      <c r="M12" s="26">
        <v>0</v>
      </c>
      <c r="N12" s="26">
        <v>3542.201685</v>
      </c>
      <c r="O12" s="26">
        <v>2973.70018</v>
      </c>
      <c r="P12" s="26">
        <v>3252.522195</v>
      </c>
      <c r="Q12" s="26">
        <v>289.67949</v>
      </c>
      <c r="R12" s="26">
        <v>2730.51246</v>
      </c>
      <c r="S12" s="26">
        <v>243.18772</v>
      </c>
      <c r="T12" s="26">
        <v>0</v>
      </c>
      <c r="U12" s="26">
        <v>0</v>
      </c>
      <c r="V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H12" s="26">
        <v>0</v>
      </c>
      <c r="AI12" s="26">
        <v>0</v>
      </c>
      <c r="AJ12" s="26">
        <v>0</v>
      </c>
      <c r="AK12" s="26">
        <v>0</v>
      </c>
    </row>
    <row r="13" spans="1:37" ht="10.5">
      <c r="A13" s="26" t="str">
        <f>'Форма 4'!A147</f>
        <v>8.</v>
      </c>
      <c r="B13" s="26">
        <f t="shared" si="0"/>
        <v>177.63</v>
      </c>
      <c r="C13" s="26">
        <v>0</v>
      </c>
      <c r="D13" s="26">
        <v>0</v>
      </c>
      <c r="E13" s="26">
        <v>0</v>
      </c>
      <c r="F13" s="26">
        <v>177.63</v>
      </c>
      <c r="G13" s="26">
        <v>0</v>
      </c>
      <c r="H13" s="26">
        <v>0</v>
      </c>
      <c r="I13" s="27">
        <f>'Форма 4'!I147</f>
        <v>0</v>
      </c>
      <c r="J13" s="27">
        <v>0</v>
      </c>
      <c r="K13" s="27">
        <f>'Форма 4'!I148</f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H13" s="26">
        <v>0</v>
      </c>
      <c r="AI13" s="26">
        <v>0</v>
      </c>
      <c r="AJ13" s="26">
        <v>0</v>
      </c>
      <c r="AK13" s="26">
        <v>0</v>
      </c>
    </row>
    <row r="14" spans="1:37" ht="10.5">
      <c r="A14" s="26" t="str">
        <f>'Форма 4'!A165</f>
        <v>9.</v>
      </c>
      <c r="B14" s="26">
        <f t="shared" si="0"/>
        <v>58289.18</v>
      </c>
      <c r="C14" s="26">
        <v>24788.18</v>
      </c>
      <c r="D14" s="26">
        <v>32040.9</v>
      </c>
      <c r="E14" s="26">
        <v>4837.12</v>
      </c>
      <c r="F14" s="26">
        <v>1460.1</v>
      </c>
      <c r="G14" s="26">
        <v>0</v>
      </c>
      <c r="H14" s="26">
        <v>0</v>
      </c>
      <c r="I14" s="27">
        <f>'Форма 4'!I165</f>
        <v>105.28</v>
      </c>
      <c r="J14" s="27">
        <v>0</v>
      </c>
      <c r="K14" s="27">
        <f>'Форма 4'!I166</f>
        <v>16.9</v>
      </c>
      <c r="L14" s="26">
        <v>0</v>
      </c>
      <c r="M14" s="26">
        <v>0</v>
      </c>
      <c r="N14" s="26">
        <v>20397.01905</v>
      </c>
      <c r="O14" s="26">
        <v>17123.4234</v>
      </c>
      <c r="P14" s="26">
        <v>17066.66193</v>
      </c>
      <c r="Q14" s="26">
        <v>3330.35712</v>
      </c>
      <c r="R14" s="26">
        <v>14327.56804</v>
      </c>
      <c r="S14" s="26">
        <v>2795.85536</v>
      </c>
      <c r="T14" s="26">
        <v>0</v>
      </c>
      <c r="U14" s="26">
        <v>0</v>
      </c>
      <c r="V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H14" s="26">
        <v>0</v>
      </c>
      <c r="AI14" s="26">
        <v>0</v>
      </c>
      <c r="AJ14" s="26">
        <v>0</v>
      </c>
      <c r="AK14" s="26">
        <v>0</v>
      </c>
    </row>
    <row r="15" spans="1:37" ht="10.5">
      <c r="A15" s="26" t="str">
        <f>'Форма 4'!A183</f>
        <v>10.</v>
      </c>
      <c r="B15" s="26">
        <f t="shared" si="0"/>
        <v>37866.01</v>
      </c>
      <c r="C15" s="26">
        <v>0</v>
      </c>
      <c r="D15" s="26">
        <v>0</v>
      </c>
      <c r="E15" s="26">
        <v>0</v>
      </c>
      <c r="F15" s="26">
        <v>37866.01</v>
      </c>
      <c r="G15" s="26">
        <v>0</v>
      </c>
      <c r="H15" s="26">
        <v>0</v>
      </c>
      <c r="I15" s="27">
        <f>'Форма 4'!I183</f>
        <v>0</v>
      </c>
      <c r="J15" s="27">
        <v>0</v>
      </c>
      <c r="K15" s="27">
        <f>'Форма 4'!I184</f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H15" s="26">
        <v>0</v>
      </c>
      <c r="AI15" s="26">
        <v>0</v>
      </c>
      <c r="AJ15" s="26">
        <v>0</v>
      </c>
      <c r="AK15" s="26">
        <v>0</v>
      </c>
    </row>
    <row r="16" spans="1:37" ht="10.5">
      <c r="A16" s="26" t="str">
        <f>'Форма 4'!A202</f>
        <v>11.</v>
      </c>
      <c r="B16" s="26">
        <f t="shared" si="0"/>
        <v>79.11</v>
      </c>
      <c r="C16" s="26">
        <v>79.11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>
        <f>'Форма 4'!I202</f>
        <v>0.34</v>
      </c>
      <c r="J16" s="27">
        <v>0</v>
      </c>
      <c r="K16" s="27">
        <f>'Форма 4'!I203</f>
        <v>0</v>
      </c>
      <c r="L16" s="26">
        <v>0</v>
      </c>
      <c r="M16" s="26">
        <v>0</v>
      </c>
      <c r="N16" s="26">
        <v>54.467235</v>
      </c>
      <c r="O16" s="26">
        <v>45.72558</v>
      </c>
      <c r="P16" s="26">
        <v>54.467235</v>
      </c>
      <c r="Q16" s="26">
        <v>0</v>
      </c>
      <c r="R16" s="26">
        <v>45.72558</v>
      </c>
      <c r="S16" s="26">
        <v>0</v>
      </c>
      <c r="T16" s="26">
        <v>0</v>
      </c>
      <c r="U16" s="26">
        <v>0</v>
      </c>
      <c r="V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H16" s="26">
        <v>0</v>
      </c>
      <c r="AI16" s="26">
        <v>0</v>
      </c>
      <c r="AJ16" s="26">
        <v>0</v>
      </c>
      <c r="AK16" s="26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K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7" customWidth="1"/>
    <col min="2" max="16384" width="9.140625" style="26" customWidth="1"/>
  </cols>
  <sheetData>
    <row r="1" spans="1:37" s="28" customFormat="1" ht="10.5">
      <c r="A1" s="7"/>
      <c r="B1" s="28" t="s">
        <v>139</v>
      </c>
      <c r="C1" s="28" t="s">
        <v>140</v>
      </c>
      <c r="D1" s="28" t="s">
        <v>141</v>
      </c>
      <c r="E1" s="28" t="s">
        <v>142</v>
      </c>
      <c r="F1" s="28" t="s">
        <v>143</v>
      </c>
      <c r="G1" s="28" t="s">
        <v>144</v>
      </c>
      <c r="H1" s="28" t="s">
        <v>145</v>
      </c>
      <c r="I1" s="28" t="s">
        <v>146</v>
      </c>
      <c r="J1" s="28" t="s">
        <v>147</v>
      </c>
      <c r="K1" s="28" t="s">
        <v>148</v>
      </c>
      <c r="L1" s="28" t="s">
        <v>149</v>
      </c>
      <c r="M1" s="28" t="s">
        <v>150</v>
      </c>
      <c r="N1" s="28" t="s">
        <v>151</v>
      </c>
      <c r="O1" s="28" t="s">
        <v>152</v>
      </c>
      <c r="P1" s="28" t="s">
        <v>153</v>
      </c>
      <c r="Q1" s="28" t="s">
        <v>154</v>
      </c>
      <c r="R1" s="28" t="s">
        <v>155</v>
      </c>
      <c r="S1" s="28" t="s">
        <v>156</v>
      </c>
      <c r="T1" s="28" t="s">
        <v>157</v>
      </c>
      <c r="U1" s="28" t="s">
        <v>158</v>
      </c>
      <c r="V1" s="28" t="s">
        <v>159</v>
      </c>
      <c r="X1" s="28" t="s">
        <v>160</v>
      </c>
      <c r="Y1" s="28" t="s">
        <v>161</v>
      </c>
      <c r="Z1" s="28" t="s">
        <v>162</v>
      </c>
      <c r="AA1" s="28" t="s">
        <v>163</v>
      </c>
      <c r="AB1" s="28" t="s">
        <v>164</v>
      </c>
      <c r="AC1" s="28" t="s">
        <v>165</v>
      </c>
      <c r="AD1" s="28" t="s">
        <v>166</v>
      </c>
      <c r="AE1" s="28" t="s">
        <v>167</v>
      </c>
      <c r="AF1" s="28" t="s">
        <v>168</v>
      </c>
      <c r="AG1" s="28" t="s">
        <v>169</v>
      </c>
      <c r="AH1" s="28" t="s">
        <v>170</v>
      </c>
      <c r="AI1" s="28" t="s">
        <v>171</v>
      </c>
      <c r="AJ1" s="28" t="s">
        <v>172</v>
      </c>
      <c r="AK1" s="28" t="s">
        <v>173</v>
      </c>
    </row>
    <row r="2" spans="1:10" ht="10.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0.5">
      <c r="A3" s="29"/>
      <c r="B3" s="66" t="s">
        <v>174</v>
      </c>
      <c r="C3" s="66"/>
      <c r="D3" s="66"/>
      <c r="E3" s="66"/>
      <c r="F3" s="66"/>
      <c r="G3" s="66"/>
      <c r="H3" s="66"/>
      <c r="I3" s="66"/>
      <c r="J3" s="66"/>
    </row>
    <row r="4" spans="1:10" ht="10.5">
      <c r="A4" s="29"/>
      <c r="B4" s="66" t="s">
        <v>175</v>
      </c>
      <c r="C4" s="66"/>
      <c r="D4" s="66"/>
      <c r="E4" s="66"/>
      <c r="F4" s="66"/>
      <c r="G4" s="66"/>
      <c r="H4" s="66"/>
      <c r="I4" s="66"/>
      <c r="J4" s="66"/>
    </row>
    <row r="5" spans="1:10" ht="10.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37" ht="10.5">
      <c r="A6" s="26" t="str">
        <f>'Форма 4'!A17</f>
        <v>1.</v>
      </c>
      <c r="B6" s="26">
        <f aca="true" t="shared" si="0" ref="B6:B16">ROUND(C6+D6+F6+AF6+AG6,2)</f>
        <v>477.18</v>
      </c>
      <c r="C6" s="26">
        <f>ROUND('Форма 4'!C17*'Текущие цены за единицу'!C6,2)</f>
        <v>58.86</v>
      </c>
      <c r="D6" s="26">
        <f>ROUND('Форма 4'!C17*'Текущие цены за единицу'!D6,2)</f>
        <v>415.22</v>
      </c>
      <c r="E6" s="26">
        <f>ROUND('Форма 4'!C17*'Текущие цены за единицу'!E6,2)</f>
        <v>71.51</v>
      </c>
      <c r="F6" s="26">
        <f>ROUND('Форма 4'!C17*'Текущие цены за единицу'!F6,2)</f>
        <v>3.1</v>
      </c>
      <c r="G6" s="26">
        <f>ROUND('Форма 4'!C17*'Текущие цены за единицу'!G6,2)</f>
        <v>0</v>
      </c>
      <c r="H6" s="26">
        <f>ROUND('Форма 4'!C17*'Текущие цены за единицу'!H6,2)</f>
        <v>0</v>
      </c>
      <c r="I6" s="30">
        <f>ОКРУГЛВСЕ('Форма 4'!C17*'Текущие цены за единицу'!I6,8)</f>
        <v>0.28296</v>
      </c>
      <c r="J6" s="27">
        <f>ОКРУГЛВСЕ('Форма 4'!C17*'Текущие цены за единицу'!J6,8)</f>
        <v>0</v>
      </c>
      <c r="K6" s="30">
        <f>ОКРУГЛВСЕ('Форма 4'!C17*'Текущие цены за единицу'!K6,8)</f>
        <v>0.24984</v>
      </c>
      <c r="L6" s="26">
        <f>ROUND('Форма 4'!C17*'Текущие цены за единицу'!L6,2)</f>
        <v>0</v>
      </c>
      <c r="M6" s="26">
        <f>ROUND('Форма 4'!C17*'Текущие цены за единицу'!M6,2)</f>
        <v>0</v>
      </c>
      <c r="N6" s="26">
        <f>ROUND((C6+E6)*'Форма 4'!C29/100,2)</f>
        <v>141.62</v>
      </c>
      <c r="O6" s="26">
        <f>ROUND((C6+E6)*'Форма 4'!C32/100,2)</f>
        <v>84.22</v>
      </c>
      <c r="P6" s="26">
        <f>ROUND('Форма 4'!C17*'Текущие цены за единицу'!P6,2)</f>
        <v>63.94</v>
      </c>
      <c r="Q6" s="26">
        <f>ROUND('Форма 4'!C17*'Текущие цены за единицу'!Q6,2)</f>
        <v>77.68</v>
      </c>
      <c r="R6" s="26">
        <f>ROUND('Форма 4'!C17*'Текущие цены за единицу'!R6,2)</f>
        <v>38.03</v>
      </c>
      <c r="S6" s="26">
        <f>ROUND('Форма 4'!C17*'Текущие цены за единицу'!S6,2)</f>
        <v>46.19</v>
      </c>
      <c r="T6" s="26">
        <f>ROUND('Форма 4'!C17*'Текущие цены за единицу'!T6,2)</f>
        <v>0</v>
      </c>
      <c r="U6" s="26">
        <f>ROUND('Форма 4'!C17*'Текущие цены за единицу'!U6,2)</f>
        <v>0</v>
      </c>
      <c r="V6" s="26">
        <f>ROUND('Форма 4'!C17*'Текущие цены за единицу'!V6,2)</f>
        <v>0</v>
      </c>
      <c r="X6" s="26">
        <f>ROUND('Форма 4'!C17*'Текущие цены за единицу'!X6,2)</f>
        <v>0</v>
      </c>
      <c r="Y6" s="26">
        <f>IF(Определители!I6="9",ROUND((C6+E6)*(Начисления!M6/100)*('Форма 4'!C29/100),2),0)</f>
        <v>0</v>
      </c>
      <c r="Z6" s="26">
        <f>IF(Определители!I6="9",ROUND((C6+E6)*(100-Начисления!M6/100)*('Форма 4'!C29/100),2),0)</f>
        <v>0</v>
      </c>
      <c r="AA6" s="26">
        <f>IF(Определители!I6="9",ROUND((C6+E6)*(Начисления!M6/100)*('Форма 4'!C32/100),2),0)</f>
        <v>0</v>
      </c>
      <c r="AB6" s="26">
        <f>IF(Определители!I6="9",ROUND((C6+E6)*(100-Начисления!M6/100)*('Форма 4'!C32/100),2),0)</f>
        <v>0</v>
      </c>
      <c r="AC6" s="26">
        <f>IF(Определители!I6="9",ROUND(B6*Начисления!M6/100,2),0)</f>
        <v>0</v>
      </c>
      <c r="AD6" s="26">
        <f>IF(Определители!I6="9",ROUND(B6*(100-Начисления!M6)/100,2),0)</f>
        <v>0</v>
      </c>
      <c r="AE6" s="26">
        <f>ROUND('Форма 4'!C17*'Текущие цены за единицу'!AE6,2)</f>
        <v>0</v>
      </c>
      <c r="AH6" s="26">
        <f>ROUND('Форма 4'!C17*'Текущие цены за единицу'!AH6,2)</f>
        <v>0</v>
      </c>
      <c r="AI6" s="26">
        <f>ROUND('Форма 4'!C17*'Текущие цены за единицу'!AI6,2)</f>
        <v>0</v>
      </c>
      <c r="AJ6" s="26">
        <f>ROUND('Форма 4'!C17*'Текущие цены за единицу'!AJ6,2)</f>
        <v>0</v>
      </c>
      <c r="AK6" s="26">
        <f>ROUND('Форма 4'!C17*'Текущие цены за единицу'!AK6,2)</f>
        <v>0</v>
      </c>
    </row>
    <row r="7" spans="1:37" ht="10.5">
      <c r="A7" s="26" t="str">
        <f>'Форма 4'!A36</f>
        <v>2.</v>
      </c>
      <c r="B7" s="26">
        <f t="shared" si="0"/>
        <v>246.12</v>
      </c>
      <c r="C7" s="26">
        <f>ROUND('Форма 4'!C36*'Текущие цены за единицу'!C7,2)</f>
        <v>49.98</v>
      </c>
      <c r="D7" s="26">
        <f>ROUND('Форма 4'!C36*'Текущие цены за единицу'!D7,2)</f>
        <v>196.14</v>
      </c>
      <c r="E7" s="26">
        <f>ROUND('Форма 4'!C36*'Текущие цены за единицу'!E7,2)</f>
        <v>15.66</v>
      </c>
      <c r="F7" s="26">
        <f>ROUND('Форма 4'!C36*'Текущие цены за единицу'!F7,2)</f>
        <v>0</v>
      </c>
      <c r="G7" s="26">
        <f>ROUND('Форма 4'!C36*'Текущие цены за единицу'!G7,2)</f>
        <v>0</v>
      </c>
      <c r="H7" s="26">
        <f>ROUND('Форма 4'!C36*'Текущие цены за единицу'!H7,2)</f>
        <v>0</v>
      </c>
      <c r="I7" s="30">
        <f>ОКРУГЛВСЕ('Форма 4'!C36*'Текущие цены за единицу'!I7,8)</f>
        <v>0.22554</v>
      </c>
      <c r="J7" s="27">
        <f>ОКРУГЛВСЕ('Форма 4'!C36*'Текущие цены за единицу'!J7,8)</f>
        <v>0</v>
      </c>
      <c r="K7" s="30">
        <f>ОКРУГЛВСЕ('Форма 4'!C36*'Текущие цены за единицу'!K7,8)</f>
        <v>0.05472</v>
      </c>
      <c r="L7" s="26">
        <f>ROUND('Форма 4'!C36*'Текущие цены за единицу'!L7,2)</f>
        <v>0</v>
      </c>
      <c r="M7" s="26">
        <f>ROUND('Форма 4'!C36*'Текущие цены за единицу'!M7,2)</f>
        <v>0</v>
      </c>
      <c r="N7" s="26">
        <f>ROUND((C7+E7)*'Форма 4'!C47/100,2)</f>
        <v>47.71</v>
      </c>
      <c r="O7" s="26">
        <f>ROUND((C7+E7)*'Форма 4'!C50/100,2)</f>
        <v>22.32</v>
      </c>
      <c r="P7" s="26">
        <f>ROUND('Форма 4'!C36*'Текущие цены за единицу'!P7,2)</f>
        <v>36.33</v>
      </c>
      <c r="Q7" s="26">
        <f>ROUND('Форма 4'!C36*'Текущие цены за единицу'!Q7,2)</f>
        <v>11.38</v>
      </c>
      <c r="R7" s="26">
        <f>ROUND('Форма 4'!C36*'Текущие цены за единицу'!R7,2)</f>
        <v>16.99</v>
      </c>
      <c r="S7" s="26">
        <f>ROUND('Форма 4'!C36*'Текущие цены за единицу'!S7,2)</f>
        <v>5.33</v>
      </c>
      <c r="T7" s="26">
        <f>ROUND('Форма 4'!C36*'Текущие цены за единицу'!T7,2)</f>
        <v>0</v>
      </c>
      <c r="U7" s="26">
        <f>ROUND('Форма 4'!C36*'Текущие цены за единицу'!U7,2)</f>
        <v>0</v>
      </c>
      <c r="V7" s="26">
        <f>ROUND('Форма 4'!C36*'Текущие цены за единицу'!V7,2)</f>
        <v>0</v>
      </c>
      <c r="X7" s="26">
        <f>ROUND('Форма 4'!C36*'Текущие цены за единицу'!X7,2)</f>
        <v>0</v>
      </c>
      <c r="Y7" s="26">
        <f>IF(Определители!I7="9",ROUND((C7+E7)*(Начисления!M7/100)*('Форма 4'!C47/100),2),0)</f>
        <v>0</v>
      </c>
      <c r="Z7" s="26">
        <f>IF(Определители!I7="9",ROUND((C7+E7)*(100-Начисления!M7/100)*('Форма 4'!C47/100),2),0)</f>
        <v>0</v>
      </c>
      <c r="AA7" s="26">
        <f>IF(Определители!I7="9",ROUND((C7+E7)*(Начисления!M7/100)*('Форма 4'!C50/100),2),0)</f>
        <v>0</v>
      </c>
      <c r="AB7" s="26">
        <f>IF(Определители!I7="9",ROUND((C7+E7)*(100-Начисления!M7/100)*('Форма 4'!C50/100),2),0)</f>
        <v>0</v>
      </c>
      <c r="AC7" s="26">
        <f>IF(Определители!I7="9",ROUND(B7*Начисления!M7/100,2),0)</f>
        <v>0</v>
      </c>
      <c r="AD7" s="26">
        <f>IF(Определители!I7="9",ROUND(B7*(100-Начисления!M7)/100,2),0)</f>
        <v>0</v>
      </c>
      <c r="AE7" s="26">
        <f>ROUND('Форма 4'!C36*'Текущие цены за единицу'!AE7,2)</f>
        <v>0</v>
      </c>
      <c r="AH7" s="26">
        <f>ROUND('Форма 4'!C36*'Текущие цены за единицу'!AH7,2)</f>
        <v>0</v>
      </c>
      <c r="AI7" s="26">
        <f>ROUND('Форма 4'!C36*'Текущие цены за единицу'!AI7,2)</f>
        <v>0</v>
      </c>
      <c r="AJ7" s="26">
        <f>ROUND('Форма 4'!C36*'Текущие цены за единицу'!AJ7,2)</f>
        <v>0</v>
      </c>
      <c r="AK7" s="26">
        <f>ROUND('Форма 4'!C36*'Текущие цены за единицу'!AK7,2)</f>
        <v>0</v>
      </c>
    </row>
    <row r="8" spans="1:37" ht="10.5">
      <c r="A8" s="26" t="str">
        <f>'Форма 4'!A54</f>
        <v>3.</v>
      </c>
      <c r="B8" s="26">
        <f t="shared" si="0"/>
        <v>803.62</v>
      </c>
      <c r="C8" s="26">
        <f>ROUND('Форма 4'!C54*'Текущие цены за единицу'!C8,2)</f>
        <v>0</v>
      </c>
      <c r="D8" s="26">
        <f>ROUND('Форма 4'!C54*'Текущие цены за единицу'!D8,2)</f>
        <v>803.62</v>
      </c>
      <c r="E8" s="26">
        <f>ROUND('Форма 4'!C54*'Текущие цены за единицу'!E8,2)</f>
        <v>0</v>
      </c>
      <c r="F8" s="26">
        <f>ROUND('Форма 4'!C54*'Текущие цены за единицу'!F8,2)</f>
        <v>0</v>
      </c>
      <c r="G8" s="26">
        <f>ROUND('Форма 4'!C54*'Текущие цены за единицу'!G8,2)</f>
        <v>0</v>
      </c>
      <c r="H8" s="26">
        <f>ROUND('Форма 4'!C54*'Текущие цены за единицу'!H8,2)</f>
        <v>0</v>
      </c>
      <c r="I8" s="30">
        <f>ОКРУГЛВСЕ('Форма 4'!C54*'Текущие цены за единицу'!I8,8)</f>
        <v>0</v>
      </c>
      <c r="J8" s="27">
        <f>ОКРУГЛВСЕ('Форма 4'!C54*'Текущие цены за единицу'!J8,8)</f>
        <v>0</v>
      </c>
      <c r="K8" s="30">
        <f>ОКРУГЛВСЕ('Форма 4'!C54*'Текущие цены за единицу'!K8,8)</f>
        <v>0</v>
      </c>
      <c r="L8" s="26">
        <f>ROUND('Форма 4'!C54*'Текущие цены за единицу'!L8,2)</f>
        <v>0</v>
      </c>
      <c r="M8" s="26">
        <f>ROUND('Форма 4'!C54*'Текущие цены за единицу'!M8,2)</f>
        <v>0</v>
      </c>
      <c r="P8" s="26">
        <f>ROUND('Форма 4'!C54*'Текущие цены за единицу'!P8,2)</f>
        <v>0</v>
      </c>
      <c r="Q8" s="26">
        <f>ROUND('Форма 4'!C54*'Текущие цены за единицу'!Q8,2)</f>
        <v>0</v>
      </c>
      <c r="R8" s="26">
        <f>ROUND('Форма 4'!C54*'Текущие цены за единицу'!R8,2)</f>
        <v>0</v>
      </c>
      <c r="S8" s="26">
        <f>ROUND('Форма 4'!C54*'Текущие цены за единицу'!S8,2)</f>
        <v>0</v>
      </c>
      <c r="T8" s="26">
        <f>ROUND('Форма 4'!C54*'Текущие цены за единицу'!T8,2)</f>
        <v>0</v>
      </c>
      <c r="U8" s="26">
        <f>ROUND('Форма 4'!C54*'Текущие цены за единицу'!U8,2)</f>
        <v>0</v>
      </c>
      <c r="V8" s="26">
        <f>ROUND('Форма 4'!C54*'Текущие цены за единицу'!V8,2)</f>
        <v>0</v>
      </c>
      <c r="X8" s="26">
        <f>ROUND('Форма 4'!C54*'Текущие цены за единицу'!X8,2)</f>
        <v>0</v>
      </c>
      <c r="Y8" s="26">
        <f>IF(Определители!I8="9",ROUND((C8+E8)*(Начисления!M8/100)*('Форма 4'!C66/100),2),0)</f>
        <v>0</v>
      </c>
      <c r="Z8" s="26">
        <f>IF(Определители!I8="9",ROUND((C8+E8)*(100-Начисления!M8/100)*('Форма 4'!C66/100),2),0)</f>
        <v>0</v>
      </c>
      <c r="AA8" s="26">
        <f>IF(Определители!I8="9",ROUND((C8+E8)*(Начисления!M8/100)*('Форма 4'!C69/100),2),0)</f>
        <v>0</v>
      </c>
      <c r="AB8" s="26">
        <f>IF(Определители!I8="9",ROUND((C8+E8)*(100-Начисления!M8/100)*('Форма 4'!C69/100),2),0)</f>
        <v>0</v>
      </c>
      <c r="AC8" s="26">
        <f>IF(Определители!I8="9",ROUND(B8*Начисления!M8/100,2),0)</f>
        <v>0</v>
      </c>
      <c r="AD8" s="26">
        <f>IF(Определители!I8="9",ROUND(B8*(100-Начисления!M8)/100,2),0)</f>
        <v>0</v>
      </c>
      <c r="AE8" s="26">
        <f>ROUND('Форма 4'!C54*'Текущие цены за единицу'!AE8,2)</f>
        <v>0</v>
      </c>
      <c r="AH8" s="26">
        <f>ROUND('Форма 4'!C54*'Текущие цены за единицу'!AH8,2)</f>
        <v>0</v>
      </c>
      <c r="AI8" s="26">
        <f>ROUND('Форма 4'!C54*'Текущие цены за единицу'!AI8,2)</f>
        <v>0</v>
      </c>
      <c r="AJ8" s="26">
        <f>ROUND('Форма 4'!C54*'Текущие цены за единицу'!AJ8,2)</f>
        <v>0</v>
      </c>
      <c r="AK8" s="26">
        <f>ROUND('Форма 4'!C54*'Текущие цены за единицу'!AK8,2)</f>
        <v>0</v>
      </c>
    </row>
    <row r="9" spans="1:37" ht="10.5">
      <c r="A9" s="26" t="str">
        <f>'Форма 4'!A73</f>
        <v>4.</v>
      </c>
      <c r="B9" s="26">
        <f t="shared" si="0"/>
        <v>1384.32</v>
      </c>
      <c r="C9" s="26">
        <f>ROUND('Форма 4'!C73*'Текущие цены за единицу'!C9,2)</f>
        <v>550.85</v>
      </c>
      <c r="D9" s="26">
        <f>ROUND('Форма 4'!C73*'Текущие цены за единицу'!D9,2)</f>
        <v>833.47</v>
      </c>
      <c r="E9" s="26">
        <f>ROUND('Форма 4'!C73*'Текущие цены за единицу'!E9,2)</f>
        <v>202.49</v>
      </c>
      <c r="F9" s="26">
        <f>ROUND('Форма 4'!C73*'Текущие цены за единицу'!F9,2)</f>
        <v>0</v>
      </c>
      <c r="G9" s="26">
        <f>ROUND('Форма 4'!C73*'Текущие цены за единицу'!G9,2)</f>
        <v>0</v>
      </c>
      <c r="H9" s="26">
        <f>ROUND('Форма 4'!C73*'Текущие цены за единицу'!H9,2)</f>
        <v>0</v>
      </c>
      <c r="I9" s="30">
        <f>ОКРУГЛВСЕ('Форма 4'!C73*'Текущие цены за единицу'!I9,8)</f>
        <v>2.312352</v>
      </c>
      <c r="J9" s="27">
        <f>ОКРУГЛВСЕ('Форма 4'!C73*'Текущие цены за единицу'!J9,8)</f>
        <v>0</v>
      </c>
      <c r="K9" s="30">
        <f>ОКРУГЛВСЕ('Форма 4'!C73*'Текущие цены за единицу'!K9,8)</f>
        <v>0.707448</v>
      </c>
      <c r="L9" s="26">
        <f>ROUND('Форма 4'!C73*'Текущие цены за единицу'!L9,2)</f>
        <v>0</v>
      </c>
      <c r="M9" s="26">
        <f>ROUND('Форма 4'!C73*'Текущие цены за единицу'!M9,2)</f>
        <v>0</v>
      </c>
      <c r="N9" s="26">
        <f>ROUND((C9+E9)*'Форма 4'!C85/100,2)</f>
        <v>818.35</v>
      </c>
      <c r="O9" s="26">
        <f>ROUND((C9+E9)*'Форма 4'!C88/100,2)</f>
        <v>486.66</v>
      </c>
      <c r="P9" s="26">
        <f>ROUND('Форма 4'!C73*'Текущие цены за единицу'!P9,2)</f>
        <v>598.39</v>
      </c>
      <c r="Q9" s="26">
        <f>ROUND('Форма 4'!C73*'Текущие цены за единицу'!Q9,2)</f>
        <v>219.96</v>
      </c>
      <c r="R9" s="26">
        <f>ROUND('Форма 4'!C73*'Текущие цены за единицу'!R9,2)</f>
        <v>355.85</v>
      </c>
      <c r="S9" s="26">
        <f>ROUND('Форма 4'!C73*'Текущие цены за единицу'!S9,2)</f>
        <v>130.81</v>
      </c>
      <c r="T9" s="26">
        <f>ROUND('Форма 4'!C73*'Текущие цены за единицу'!T9,2)</f>
        <v>0</v>
      </c>
      <c r="U9" s="26">
        <f>ROUND('Форма 4'!C73*'Текущие цены за единицу'!U9,2)</f>
        <v>0</v>
      </c>
      <c r="V9" s="26">
        <f>ROUND('Форма 4'!C73*'Текущие цены за единицу'!V9,2)</f>
        <v>0</v>
      </c>
      <c r="X9" s="26">
        <f>ROUND('Форма 4'!C73*'Текущие цены за единицу'!X9,2)</f>
        <v>0</v>
      </c>
      <c r="Y9" s="26">
        <f>IF(Определители!I9="9",ROUND((C9+E9)*(Начисления!M9/100)*('Форма 4'!C85/100),2),0)</f>
        <v>0</v>
      </c>
      <c r="Z9" s="26">
        <f>IF(Определители!I9="9",ROUND((C9+E9)*(100-Начисления!M9/100)*('Форма 4'!C85/100),2),0)</f>
        <v>0</v>
      </c>
      <c r="AA9" s="26">
        <f>IF(Определители!I9="9",ROUND((C9+E9)*(Начисления!M9/100)*('Форма 4'!C88/100),2),0)</f>
        <v>0</v>
      </c>
      <c r="AB9" s="26">
        <f>IF(Определители!I9="9",ROUND((C9+E9)*(100-Начисления!M9/100)*('Форма 4'!C88/100),2),0)</f>
        <v>0</v>
      </c>
      <c r="AC9" s="26">
        <f>IF(Определители!I9="9",ROUND(B9*Начисления!M9/100,2),0)</f>
        <v>0</v>
      </c>
      <c r="AD9" s="26">
        <f>IF(Определители!I9="9",ROUND(B9*(100-Начисления!M9)/100,2),0)</f>
        <v>0</v>
      </c>
      <c r="AE9" s="26">
        <f>ROUND('Форма 4'!C73*'Текущие цены за единицу'!AE9,2)</f>
        <v>0</v>
      </c>
      <c r="AH9" s="26">
        <f>ROUND('Форма 4'!C73*'Текущие цены за единицу'!AH9,2)</f>
        <v>0</v>
      </c>
      <c r="AI9" s="26">
        <f>ROUND('Форма 4'!C73*'Текущие цены за единицу'!AI9,2)</f>
        <v>0</v>
      </c>
      <c r="AJ9" s="26">
        <f>ROUND('Форма 4'!C73*'Текущие цены за единицу'!AJ9,2)</f>
        <v>0</v>
      </c>
      <c r="AK9" s="26">
        <f>ROUND('Форма 4'!C73*'Текущие цены за единицу'!AK9,2)</f>
        <v>0</v>
      </c>
    </row>
    <row r="10" spans="1:37" ht="10.5">
      <c r="A10" s="26" t="str">
        <f>'Форма 4'!A92</f>
        <v>5.</v>
      </c>
      <c r="B10" s="26">
        <f t="shared" si="0"/>
        <v>17000</v>
      </c>
      <c r="C10" s="26">
        <f>ROUND('Форма 4'!C92*'Текущие цены за единицу'!C10,2)</f>
        <v>0</v>
      </c>
      <c r="D10" s="26">
        <f>ROUND('Форма 4'!C92*'Текущие цены за единицу'!D10,2)</f>
        <v>0</v>
      </c>
      <c r="E10" s="26">
        <f>ROUND('Форма 4'!C92*'Текущие цены за единицу'!E10,2)</f>
        <v>0</v>
      </c>
      <c r="F10" s="26">
        <f>ROUND('Форма 4'!C92*'Текущие цены за единицу'!F10,2)</f>
        <v>17000</v>
      </c>
      <c r="G10" s="26">
        <f>ROUND('Форма 4'!C92*'Текущие цены за единицу'!G10,2)</f>
        <v>0</v>
      </c>
      <c r="H10" s="26">
        <f>ROUND('Форма 4'!C92*'Текущие цены за единицу'!H10,2)</f>
        <v>0</v>
      </c>
      <c r="I10" s="30">
        <f>ОКРУГЛВСЕ('Форма 4'!C92*'Текущие цены за единицу'!I10,8)</f>
        <v>0</v>
      </c>
      <c r="J10" s="27">
        <f>ОКРУГЛВСЕ('Форма 4'!C92*'Текущие цены за единицу'!J10,8)</f>
        <v>0</v>
      </c>
      <c r="K10" s="30">
        <f>ОКРУГЛВСЕ('Форма 4'!C92*'Текущие цены за единицу'!K10,8)</f>
        <v>0</v>
      </c>
      <c r="L10" s="26">
        <f>ROUND('Форма 4'!C92*'Текущие цены за единицу'!L10,2)</f>
        <v>0</v>
      </c>
      <c r="M10" s="26">
        <f>ROUND('Форма 4'!C92*'Текущие цены за единицу'!M10,2)</f>
        <v>0</v>
      </c>
      <c r="N10" s="26">
        <f>ROUND((C10+E10)*'Форма 4'!C103/100,2)</f>
        <v>0</v>
      </c>
      <c r="O10" s="26">
        <f>ROUND((C10+E10)*'Форма 4'!C106/100,2)</f>
        <v>0</v>
      </c>
      <c r="P10" s="26">
        <f>ROUND('Форма 4'!C92*'Текущие цены за единицу'!P10,2)</f>
        <v>0</v>
      </c>
      <c r="Q10" s="26">
        <f>ROUND('Форма 4'!C92*'Текущие цены за единицу'!Q10,2)</f>
        <v>0</v>
      </c>
      <c r="R10" s="26">
        <f>ROUND('Форма 4'!C92*'Текущие цены за единицу'!R10,2)</f>
        <v>0</v>
      </c>
      <c r="S10" s="26">
        <f>ROUND('Форма 4'!C92*'Текущие цены за единицу'!S10,2)</f>
        <v>0</v>
      </c>
      <c r="T10" s="26">
        <f>ROUND('Форма 4'!C92*'Текущие цены за единицу'!T10,2)</f>
        <v>0</v>
      </c>
      <c r="U10" s="26">
        <f>ROUND('Форма 4'!C92*'Текущие цены за единицу'!U10,2)</f>
        <v>0</v>
      </c>
      <c r="V10" s="26">
        <f>ROUND('Форма 4'!C92*'Текущие цены за единицу'!V10,2)</f>
        <v>0</v>
      </c>
      <c r="X10" s="26">
        <f>ROUND('Форма 4'!C92*'Текущие цены за единицу'!X10,2)</f>
        <v>0</v>
      </c>
      <c r="Y10" s="26">
        <f>IF(Определители!I10="9",ROUND((C10+E10)*(Начисления!M10/100)*('Форма 4'!C103/100),2),0)</f>
        <v>0</v>
      </c>
      <c r="Z10" s="26">
        <f>IF(Определители!I10="9",ROUND((C10+E10)*(100-Начисления!M10/100)*('Форма 4'!C103/100),2),0)</f>
        <v>0</v>
      </c>
      <c r="AA10" s="26">
        <f>IF(Определители!I10="9",ROUND((C10+E10)*(Начисления!M10/100)*('Форма 4'!C106/100),2),0)</f>
        <v>0</v>
      </c>
      <c r="AB10" s="26">
        <f>IF(Определители!I10="9",ROUND((C10+E10)*(100-Начисления!M10/100)*('Форма 4'!C106/100),2),0)</f>
        <v>0</v>
      </c>
      <c r="AC10" s="26">
        <f>IF(Определители!I10="9",ROUND(B10*Начисления!M10/100,2),0)</f>
        <v>0</v>
      </c>
      <c r="AD10" s="26">
        <f>IF(Определители!I10="9",ROUND(B10*(100-Начисления!M10)/100,2),0)</f>
        <v>0</v>
      </c>
      <c r="AE10" s="26">
        <f>ROUND('Форма 4'!C92*'Текущие цены за единицу'!AE10,2)</f>
        <v>0</v>
      </c>
      <c r="AH10" s="26">
        <f>ROUND('Форма 4'!C92*'Текущие цены за единицу'!AH10,2)</f>
        <v>0</v>
      </c>
      <c r="AI10" s="26">
        <f>ROUND('Форма 4'!C92*'Текущие цены за единицу'!AI10,2)</f>
        <v>0</v>
      </c>
      <c r="AJ10" s="26">
        <f>ROUND('Форма 4'!C92*'Текущие цены за единицу'!AJ10,2)</f>
        <v>0</v>
      </c>
      <c r="AK10" s="26">
        <f>ROUND('Форма 4'!C92*'Текущие цены за единицу'!AK10,2)</f>
        <v>0</v>
      </c>
    </row>
    <row r="11" spans="1:37" ht="10.5">
      <c r="A11" s="26" t="str">
        <f>'Форма 4'!A110</f>
        <v>6.</v>
      </c>
      <c r="B11" s="26">
        <f t="shared" si="0"/>
        <v>2143.35</v>
      </c>
      <c r="C11" s="26">
        <f>ROUND('Форма 4'!C110*'Текущие цены за единицу'!C11,2)</f>
        <v>0</v>
      </c>
      <c r="D11" s="26">
        <f>ROUND('Форма 4'!C110*'Текущие цены за единицу'!D11,2)</f>
        <v>2143.35</v>
      </c>
      <c r="E11" s="26">
        <f>ROUND('Форма 4'!C110*'Текущие цены за единицу'!E11,2)</f>
        <v>0</v>
      </c>
      <c r="F11" s="26">
        <f>ROUND('Форма 4'!C110*'Текущие цены за единицу'!F11,2)</f>
        <v>0</v>
      </c>
      <c r="G11" s="26">
        <f>ROUND('Форма 4'!C110*'Текущие цены за единицу'!G11,2)</f>
        <v>0</v>
      </c>
      <c r="H11" s="26">
        <f>ROUND('Форма 4'!C110*'Текущие цены за единицу'!H11,2)</f>
        <v>0</v>
      </c>
      <c r="I11" s="30">
        <f>ОКРУГЛВСЕ('Форма 4'!C110*'Текущие цены за единицу'!I11,8)</f>
        <v>0</v>
      </c>
      <c r="J11" s="27">
        <f>ОКРУГЛВСЕ('Форма 4'!C110*'Текущие цены за единицу'!J11,8)</f>
        <v>0</v>
      </c>
      <c r="K11" s="30">
        <f>ОКРУГЛВСЕ('Форма 4'!C110*'Текущие цены за единицу'!K11,8)</f>
        <v>0</v>
      </c>
      <c r="L11" s="26">
        <f>ROUND('Форма 4'!C110*'Текущие цены за единицу'!L11,2)</f>
        <v>0</v>
      </c>
      <c r="M11" s="26">
        <f>ROUND('Форма 4'!C110*'Текущие цены за единицу'!M11,2)</f>
        <v>0</v>
      </c>
      <c r="P11" s="26">
        <f>ROUND('Форма 4'!C110*'Текущие цены за единицу'!P11,2)</f>
        <v>0</v>
      </c>
      <c r="Q11" s="26">
        <f>ROUND('Форма 4'!C110*'Текущие цены за единицу'!Q11,2)</f>
        <v>0</v>
      </c>
      <c r="R11" s="26">
        <f>ROUND('Форма 4'!C110*'Текущие цены за единицу'!R11,2)</f>
        <v>0</v>
      </c>
      <c r="S11" s="26">
        <f>ROUND('Форма 4'!C110*'Текущие цены за единицу'!S11,2)</f>
        <v>0</v>
      </c>
      <c r="T11" s="26">
        <f>ROUND('Форма 4'!C110*'Текущие цены за единицу'!T11,2)</f>
        <v>0</v>
      </c>
      <c r="U11" s="26">
        <f>ROUND('Форма 4'!C110*'Текущие цены за единицу'!U11,2)</f>
        <v>0</v>
      </c>
      <c r="V11" s="26">
        <f>ROUND('Форма 4'!C110*'Текущие цены за единицу'!V11,2)</f>
        <v>0</v>
      </c>
      <c r="X11" s="26">
        <f>ROUND('Форма 4'!C110*'Текущие цены за единицу'!X11,2)</f>
        <v>0</v>
      </c>
      <c r="Y11" s="26">
        <f>IF(Определители!I11="9",ROUND((C11+E11)*(Начисления!M11/100)*('Форма 4'!C121/100),2),0)</f>
        <v>0</v>
      </c>
      <c r="Z11" s="26">
        <f>IF(Определители!I11="9",ROUND((C11+E11)*(100-Начисления!M11/100)*('Форма 4'!C121/100),2),0)</f>
        <v>0</v>
      </c>
      <c r="AA11" s="26">
        <f>IF(Определители!I11="9",ROUND((C11+E11)*(Начисления!M11/100)*('Форма 4'!C124/100),2),0)</f>
        <v>0</v>
      </c>
      <c r="AB11" s="26">
        <f>IF(Определители!I11="9",ROUND((C11+E11)*(100-Начисления!M11/100)*('Форма 4'!C124/100),2),0)</f>
        <v>0</v>
      </c>
      <c r="AC11" s="26">
        <f>IF(Определители!I11="9",ROUND(B11*Начисления!M11/100,2),0)</f>
        <v>0</v>
      </c>
      <c r="AD11" s="26">
        <f>IF(Определители!I11="9",ROUND(B11*(100-Начисления!M11)/100,2),0)</f>
        <v>0</v>
      </c>
      <c r="AE11" s="26">
        <f>ROUND('Форма 4'!C110*'Текущие цены за единицу'!AE11,2)</f>
        <v>0</v>
      </c>
      <c r="AH11" s="26">
        <f>ROUND('Форма 4'!C110*'Текущие цены за единицу'!AH11,2)</f>
        <v>0</v>
      </c>
      <c r="AI11" s="26">
        <f>ROUND('Форма 4'!C110*'Текущие цены за единицу'!AI11,2)</f>
        <v>0</v>
      </c>
      <c r="AJ11" s="26">
        <f>ROUND('Форма 4'!C110*'Текущие цены за единицу'!AJ11,2)</f>
        <v>0</v>
      </c>
      <c r="AK11" s="26">
        <f>ROUND('Форма 4'!C110*'Текущие цены за единицу'!AK11,2)</f>
        <v>0</v>
      </c>
    </row>
    <row r="12" spans="1:37" ht="10.5">
      <c r="A12" s="26" t="str">
        <f>'Форма 4'!A128</f>
        <v>7.</v>
      </c>
      <c r="B12" s="26">
        <f t="shared" si="0"/>
        <v>982.09</v>
      </c>
      <c r="C12" s="26">
        <f>ROUND('Форма 4'!C128*'Текущие цены за единицу'!C12,2)</f>
        <v>430.36</v>
      </c>
      <c r="D12" s="26">
        <f>ROUND('Форма 4'!C128*'Текущие цены за единицу'!D12,2)</f>
        <v>282.25</v>
      </c>
      <c r="E12" s="26">
        <f>ROUND('Форма 4'!C128*'Текущие цены за единицу'!E12,2)</f>
        <v>38.33</v>
      </c>
      <c r="F12" s="26">
        <f>ROUND('Форма 4'!C128*'Текущие цены за единицу'!F12,2)</f>
        <v>269.48</v>
      </c>
      <c r="G12" s="26">
        <f>ROUND('Форма 4'!C128*'Текущие цены за единицу'!G12,2)</f>
        <v>0</v>
      </c>
      <c r="H12" s="26">
        <f>ROUND('Форма 4'!C128*'Текущие цены за единицу'!H12,2)</f>
        <v>0</v>
      </c>
      <c r="I12" s="30">
        <f>ОКРУГЛВСЕ('Форма 4'!C128*'Текущие цены за единицу'!I12,8)</f>
        <v>1.765518</v>
      </c>
      <c r="J12" s="27">
        <f>ОКРУГЛВСЕ('Форма 4'!C128*'Текущие цены за единицу'!J12,8)</f>
        <v>0</v>
      </c>
      <c r="K12" s="30">
        <f>ОКРУГЛВСЕ('Форма 4'!C128*'Текущие цены за единицу'!K12,8)</f>
        <v>0.133917</v>
      </c>
      <c r="L12" s="26">
        <f>ROUND('Форма 4'!C128*'Текущие цены за единицу'!L12,2)</f>
        <v>0</v>
      </c>
      <c r="M12" s="26">
        <f>ROUND('Форма 4'!C128*'Текущие цены за единицу'!M12,2)</f>
        <v>0</v>
      </c>
      <c r="N12" s="26">
        <f>ROUND((C12+E12)*'Форма 4'!C140/100,2)</f>
        <v>322.69</v>
      </c>
      <c r="O12" s="26">
        <f>ROUND((C12+E12)*'Форма 4'!C143/100,2)</f>
        <v>270.9</v>
      </c>
      <c r="P12" s="26">
        <f>ROUND('Форма 4'!C128*'Текущие цены за единицу'!P12,2)</f>
        <v>296.3</v>
      </c>
      <c r="Q12" s="26">
        <f>ROUND('Форма 4'!C128*'Текущие цены за единицу'!Q12,2)</f>
        <v>26.39</v>
      </c>
      <c r="R12" s="26">
        <f>ROUND('Форма 4'!C128*'Текущие цены за единицу'!R12,2)</f>
        <v>248.75</v>
      </c>
      <c r="S12" s="26">
        <f>ROUND('Форма 4'!C128*'Текущие цены за единицу'!S12,2)</f>
        <v>22.15</v>
      </c>
      <c r="T12" s="26">
        <f>ROUND('Форма 4'!C128*'Текущие цены за единицу'!T12,2)</f>
        <v>0</v>
      </c>
      <c r="U12" s="26">
        <f>ROUND('Форма 4'!C128*'Текущие цены за единицу'!U12,2)</f>
        <v>0</v>
      </c>
      <c r="V12" s="26">
        <f>ROUND('Форма 4'!C128*'Текущие цены за единицу'!V12,2)</f>
        <v>0</v>
      </c>
      <c r="X12" s="26">
        <f>ROUND('Форма 4'!C128*'Текущие цены за единицу'!X12,2)</f>
        <v>0</v>
      </c>
      <c r="Y12" s="26">
        <f>IF(Определители!I12="9",ROUND((C12+E12)*(Начисления!M12/100)*('Форма 4'!C140/100),2),0)</f>
        <v>0</v>
      </c>
      <c r="Z12" s="26">
        <f>IF(Определители!I12="9",ROUND((C12+E12)*(100-Начисления!M12/100)*('Форма 4'!C140/100),2),0)</f>
        <v>0</v>
      </c>
      <c r="AA12" s="26">
        <f>IF(Определители!I12="9",ROUND((C12+E12)*(Начисления!M12/100)*('Форма 4'!C143/100),2),0)</f>
        <v>0</v>
      </c>
      <c r="AB12" s="26">
        <f>IF(Определители!I12="9",ROUND((C12+E12)*(100-Начисления!M12/100)*('Форма 4'!C143/100),2),0)</f>
        <v>0</v>
      </c>
      <c r="AC12" s="26">
        <f>IF(Определители!I12="9",ROUND(B12*Начисления!M12/100,2),0)</f>
        <v>0</v>
      </c>
      <c r="AD12" s="26">
        <f>IF(Определители!I12="9",ROUND(B12*(100-Начисления!M12)/100,2),0)</f>
        <v>0</v>
      </c>
      <c r="AE12" s="26">
        <f>ROUND('Форма 4'!C128*'Текущие цены за единицу'!AE12,2)</f>
        <v>0</v>
      </c>
      <c r="AH12" s="26">
        <f>ROUND('Форма 4'!C128*'Текущие цены за единицу'!AH12,2)</f>
        <v>0</v>
      </c>
      <c r="AI12" s="26">
        <f>ROUND('Форма 4'!C128*'Текущие цены за единицу'!AI12,2)</f>
        <v>0</v>
      </c>
      <c r="AJ12" s="26">
        <f>ROUND('Форма 4'!C128*'Текущие цены за единицу'!AJ12,2)</f>
        <v>0</v>
      </c>
      <c r="AK12" s="26">
        <f>ROUND('Форма 4'!C128*'Текущие цены за единицу'!AK12,2)</f>
        <v>0</v>
      </c>
    </row>
    <row r="13" spans="1:37" ht="10.5">
      <c r="A13" s="26" t="str">
        <f>'Форма 4'!A147</f>
        <v>8.</v>
      </c>
      <c r="B13" s="26">
        <f t="shared" si="0"/>
        <v>4440.75</v>
      </c>
      <c r="C13" s="26">
        <f>ROUND('Форма 4'!C147*'Текущие цены за единицу'!C13,2)</f>
        <v>0</v>
      </c>
      <c r="D13" s="26">
        <f>ROUND('Форма 4'!C147*'Текущие цены за единицу'!D13,2)</f>
        <v>0</v>
      </c>
      <c r="E13" s="26">
        <f>ROUND('Форма 4'!C147*'Текущие цены за единицу'!E13,2)</f>
        <v>0</v>
      </c>
      <c r="F13" s="26">
        <f>ROUND('Форма 4'!C147*'Текущие цены за единицу'!F13,2)</f>
        <v>4440.75</v>
      </c>
      <c r="G13" s="26">
        <f>ROUND('Форма 4'!C147*'Текущие цены за единицу'!G13,2)</f>
        <v>0</v>
      </c>
      <c r="H13" s="26">
        <f>ROUND('Форма 4'!C147*'Текущие цены за единицу'!H13,2)</f>
        <v>0</v>
      </c>
      <c r="I13" s="30">
        <f>ОКРУГЛВСЕ('Форма 4'!C147*'Текущие цены за единицу'!I13,8)</f>
        <v>0</v>
      </c>
      <c r="J13" s="27">
        <f>ОКРУГЛВСЕ('Форма 4'!C147*'Текущие цены за единицу'!J13,8)</f>
        <v>0</v>
      </c>
      <c r="K13" s="30">
        <f>ОКРУГЛВСЕ('Форма 4'!C147*'Текущие цены за единицу'!K13,8)</f>
        <v>0</v>
      </c>
      <c r="L13" s="26">
        <f>ROUND('Форма 4'!C147*'Текущие цены за единицу'!L13,2)</f>
        <v>0</v>
      </c>
      <c r="M13" s="26">
        <f>ROUND('Форма 4'!C147*'Текущие цены за единицу'!M13,2)</f>
        <v>0</v>
      </c>
      <c r="N13" s="26">
        <f>ROUND((C13+E13)*'Форма 4'!C158/100,2)</f>
        <v>0</v>
      </c>
      <c r="O13" s="26">
        <f>ROUND((C13+E13)*'Форма 4'!C161/100,2)</f>
        <v>0</v>
      </c>
      <c r="P13" s="26">
        <f>ROUND('Форма 4'!C147*'Текущие цены за единицу'!P13,2)</f>
        <v>0</v>
      </c>
      <c r="Q13" s="26">
        <f>ROUND('Форма 4'!C147*'Текущие цены за единицу'!Q13,2)</f>
        <v>0</v>
      </c>
      <c r="R13" s="26">
        <f>ROUND('Форма 4'!C147*'Текущие цены за единицу'!R13,2)</f>
        <v>0</v>
      </c>
      <c r="S13" s="26">
        <f>ROUND('Форма 4'!C147*'Текущие цены за единицу'!S13,2)</f>
        <v>0</v>
      </c>
      <c r="T13" s="26">
        <f>ROUND('Форма 4'!C147*'Текущие цены за единицу'!T13,2)</f>
        <v>0</v>
      </c>
      <c r="U13" s="26">
        <f>ROUND('Форма 4'!C147*'Текущие цены за единицу'!U13,2)</f>
        <v>0</v>
      </c>
      <c r="V13" s="26">
        <f>ROUND('Форма 4'!C147*'Текущие цены за единицу'!V13,2)</f>
        <v>0</v>
      </c>
      <c r="X13" s="26">
        <f>ROUND('Форма 4'!C147*'Текущие цены за единицу'!X13,2)</f>
        <v>0</v>
      </c>
      <c r="Y13" s="26">
        <f>IF(Определители!I13="9",ROUND((C13+E13)*(Начисления!M13/100)*('Форма 4'!C158/100),2),0)</f>
        <v>0</v>
      </c>
      <c r="Z13" s="26">
        <f>IF(Определители!I13="9",ROUND((C13+E13)*(100-Начисления!M13/100)*('Форма 4'!C158/100),2),0)</f>
        <v>0</v>
      </c>
      <c r="AA13" s="26">
        <f>IF(Определители!I13="9",ROUND((C13+E13)*(Начисления!M13/100)*('Форма 4'!C161/100),2),0)</f>
        <v>0</v>
      </c>
      <c r="AB13" s="26">
        <f>IF(Определители!I13="9",ROUND((C13+E13)*(100-Начисления!M13/100)*('Форма 4'!C161/100),2),0)</f>
        <v>0</v>
      </c>
      <c r="AC13" s="26">
        <f>IF(Определители!I13="9",ROUND(B13*Начисления!M13/100,2),0)</f>
        <v>0</v>
      </c>
      <c r="AD13" s="26">
        <f>IF(Определители!I13="9",ROUND(B13*(100-Начисления!M13)/100,2),0)</f>
        <v>0</v>
      </c>
      <c r="AE13" s="26">
        <f>ROUND('Форма 4'!C147*'Текущие цены за единицу'!AE13,2)</f>
        <v>0</v>
      </c>
      <c r="AH13" s="26">
        <f>ROUND('Форма 4'!C147*'Текущие цены за единицу'!AH13,2)</f>
        <v>0</v>
      </c>
      <c r="AI13" s="26">
        <f>ROUND('Форма 4'!C147*'Текущие цены за единицу'!AI13,2)</f>
        <v>0</v>
      </c>
      <c r="AJ13" s="26">
        <f>ROUND('Форма 4'!C147*'Текущие цены за единицу'!AJ13,2)</f>
        <v>0</v>
      </c>
      <c r="AK13" s="26">
        <f>ROUND('Форма 4'!C147*'Текущие цены за единицу'!AK13,2)</f>
        <v>0</v>
      </c>
    </row>
    <row r="14" spans="1:37" ht="10.5">
      <c r="A14" s="26" t="str">
        <f>'Форма 4'!A165</f>
        <v>9.</v>
      </c>
      <c r="B14" s="26">
        <f t="shared" si="0"/>
        <v>5828.92</v>
      </c>
      <c r="C14" s="26">
        <f>ROUND('Форма 4'!C165*'Текущие цены за единицу'!C14,2)</f>
        <v>2478.82</v>
      </c>
      <c r="D14" s="26">
        <f>ROUND('Форма 4'!C165*'Текущие цены за единицу'!D14,2)</f>
        <v>3204.09</v>
      </c>
      <c r="E14" s="26">
        <f>ROUND('Форма 4'!C165*'Текущие цены за единицу'!E14,2)</f>
        <v>483.71</v>
      </c>
      <c r="F14" s="26">
        <f>ROUND('Форма 4'!C165*'Текущие цены за единицу'!F14,2)</f>
        <v>146.01</v>
      </c>
      <c r="G14" s="26">
        <f>ROUND('Форма 4'!C165*'Текущие цены за единицу'!G14,2)</f>
        <v>0</v>
      </c>
      <c r="H14" s="26">
        <f>ROUND('Форма 4'!C165*'Текущие цены за единицу'!H14,2)</f>
        <v>0</v>
      </c>
      <c r="I14" s="30">
        <f>ОКРУГЛВСЕ('Форма 4'!C165*'Текущие цены за единицу'!I14,8)</f>
        <v>10.528</v>
      </c>
      <c r="J14" s="27">
        <f>ОКРУГЛВСЕ('Форма 4'!C165*'Текущие цены за единицу'!J14,8)</f>
        <v>0</v>
      </c>
      <c r="K14" s="30">
        <f>ОКРУГЛВСЕ('Форма 4'!C165*'Текущие цены за единицу'!K14,8)</f>
        <v>1.69</v>
      </c>
      <c r="L14" s="26">
        <f>ROUND('Форма 4'!C165*'Текущие цены за единицу'!L14,2)</f>
        <v>0</v>
      </c>
      <c r="M14" s="26">
        <f>ROUND('Форма 4'!C165*'Текущие цены за единицу'!M14,2)</f>
        <v>0</v>
      </c>
      <c r="N14" s="26">
        <f>ROUND((C14+E14)*'Форма 4'!C176/100,2)</f>
        <v>2039.7</v>
      </c>
      <c r="O14" s="26">
        <f>ROUND((C14+E14)*'Форма 4'!C179/100,2)</f>
        <v>1712.34</v>
      </c>
      <c r="P14" s="26">
        <f>ROUND('Форма 4'!C165*'Текущие цены за единицу'!P14,2)</f>
        <v>1706.67</v>
      </c>
      <c r="Q14" s="26">
        <f>ROUND('Форма 4'!C165*'Текущие цены за единицу'!Q14,2)</f>
        <v>333.04</v>
      </c>
      <c r="R14" s="26">
        <f>ROUND('Форма 4'!C165*'Текущие цены за единицу'!R14,2)</f>
        <v>1432.76</v>
      </c>
      <c r="S14" s="26">
        <f>ROUND('Форма 4'!C165*'Текущие цены за единицу'!S14,2)</f>
        <v>279.59</v>
      </c>
      <c r="T14" s="26">
        <f>ROUND('Форма 4'!C165*'Текущие цены за единицу'!T14,2)</f>
        <v>0</v>
      </c>
      <c r="U14" s="26">
        <f>ROUND('Форма 4'!C165*'Текущие цены за единицу'!U14,2)</f>
        <v>0</v>
      </c>
      <c r="V14" s="26">
        <f>ROUND('Форма 4'!C165*'Текущие цены за единицу'!V14,2)</f>
        <v>0</v>
      </c>
      <c r="X14" s="26">
        <f>ROUND('Форма 4'!C165*'Текущие цены за единицу'!X14,2)</f>
        <v>0</v>
      </c>
      <c r="Y14" s="26">
        <f>IF(Определители!I14="9",ROUND((C14+E14)*(Начисления!M14/100)*('Форма 4'!C176/100),2),0)</f>
        <v>0</v>
      </c>
      <c r="Z14" s="26">
        <f>IF(Определители!I14="9",ROUND((C14+E14)*(100-Начисления!M14/100)*('Форма 4'!C176/100),2),0)</f>
        <v>0</v>
      </c>
      <c r="AA14" s="26">
        <f>IF(Определители!I14="9",ROUND((C14+E14)*(Начисления!M14/100)*('Форма 4'!C179/100),2),0)</f>
        <v>0</v>
      </c>
      <c r="AB14" s="26">
        <f>IF(Определители!I14="9",ROUND((C14+E14)*(100-Начисления!M14/100)*('Форма 4'!C179/100),2),0)</f>
        <v>0</v>
      </c>
      <c r="AC14" s="26">
        <f>IF(Определители!I14="9",ROUND(B14*Начисления!M14/100,2),0)</f>
        <v>0</v>
      </c>
      <c r="AD14" s="26">
        <f>IF(Определители!I14="9",ROUND(B14*(100-Начисления!M14)/100,2),0)</f>
        <v>0</v>
      </c>
      <c r="AE14" s="26">
        <f>ROUND('Форма 4'!C165*'Текущие цены за единицу'!AE14,2)</f>
        <v>0</v>
      </c>
      <c r="AH14" s="26">
        <f>ROUND('Форма 4'!C165*'Текущие цены за единицу'!AH14,2)</f>
        <v>0</v>
      </c>
      <c r="AI14" s="26">
        <f>ROUND('Форма 4'!C165*'Текущие цены за единицу'!AI14,2)</f>
        <v>0</v>
      </c>
      <c r="AJ14" s="26">
        <f>ROUND('Форма 4'!C165*'Текущие цены за единицу'!AJ14,2)</f>
        <v>0</v>
      </c>
      <c r="AK14" s="26">
        <f>ROUND('Форма 4'!C165*'Текущие цены за единицу'!AK14,2)</f>
        <v>0</v>
      </c>
    </row>
    <row r="15" spans="1:37" ht="10.5">
      <c r="A15" s="26" t="str">
        <f>'Форма 4'!A183</f>
        <v>10.</v>
      </c>
      <c r="B15" s="26">
        <f t="shared" si="0"/>
        <v>2109.14</v>
      </c>
      <c r="C15" s="26">
        <f>ROUND('Форма 4'!C183*'Текущие цены за единицу'!C15,2)</f>
        <v>0</v>
      </c>
      <c r="D15" s="26">
        <f>ROUND('Форма 4'!C183*'Текущие цены за единицу'!D15,2)</f>
        <v>0</v>
      </c>
      <c r="E15" s="26">
        <f>ROUND('Форма 4'!C183*'Текущие цены за единицу'!E15,2)</f>
        <v>0</v>
      </c>
      <c r="F15" s="26">
        <f>ROUND('Форма 4'!C183*'Текущие цены за единицу'!F15,2)</f>
        <v>2109.14</v>
      </c>
      <c r="G15" s="26">
        <f>ROUND('Форма 4'!C183*'Текущие цены за единицу'!G15,2)</f>
        <v>0</v>
      </c>
      <c r="H15" s="26">
        <f>ROUND('Форма 4'!C183*'Текущие цены за единицу'!H15,2)</f>
        <v>0</v>
      </c>
      <c r="I15" s="30">
        <f>ОКРУГЛВСЕ('Форма 4'!C183*'Текущие цены за единицу'!I15,8)</f>
        <v>0</v>
      </c>
      <c r="J15" s="27">
        <f>ОКРУГЛВСЕ('Форма 4'!C183*'Текущие цены за единицу'!J15,8)</f>
        <v>0</v>
      </c>
      <c r="K15" s="30">
        <f>ОКРУГЛВСЕ('Форма 4'!C183*'Текущие цены за единицу'!K15,8)</f>
        <v>0</v>
      </c>
      <c r="L15" s="26">
        <f>ROUND('Форма 4'!C183*'Текущие цены за единицу'!L15,2)</f>
        <v>0</v>
      </c>
      <c r="M15" s="26">
        <f>ROUND('Форма 4'!C183*'Текущие цены за единицу'!M15,2)</f>
        <v>0</v>
      </c>
      <c r="N15" s="26">
        <f>ROUND((C15+E15)*'Форма 4'!C195/100,2)</f>
        <v>0</v>
      </c>
      <c r="O15" s="26">
        <f>ROUND((C15+E15)*'Форма 4'!C198/100,2)</f>
        <v>0</v>
      </c>
      <c r="P15" s="26">
        <f>ROUND('Форма 4'!C183*'Текущие цены за единицу'!P15,2)</f>
        <v>0</v>
      </c>
      <c r="Q15" s="26">
        <f>ROUND('Форма 4'!C183*'Текущие цены за единицу'!Q15,2)</f>
        <v>0</v>
      </c>
      <c r="R15" s="26">
        <f>ROUND('Форма 4'!C183*'Текущие цены за единицу'!R15,2)</f>
        <v>0</v>
      </c>
      <c r="S15" s="26">
        <f>ROUND('Форма 4'!C183*'Текущие цены за единицу'!S15,2)</f>
        <v>0</v>
      </c>
      <c r="T15" s="26">
        <f>ROUND('Форма 4'!C183*'Текущие цены за единицу'!T15,2)</f>
        <v>0</v>
      </c>
      <c r="U15" s="26">
        <f>ROUND('Форма 4'!C183*'Текущие цены за единицу'!U15,2)</f>
        <v>0</v>
      </c>
      <c r="V15" s="26">
        <f>ROUND('Форма 4'!C183*'Текущие цены за единицу'!V15,2)</f>
        <v>0</v>
      </c>
      <c r="X15" s="26">
        <f>ROUND('Форма 4'!C183*'Текущие цены за единицу'!X15,2)</f>
        <v>0</v>
      </c>
      <c r="Y15" s="26">
        <f>IF(Определители!I15="9",ROUND((C15+E15)*(Начисления!M15/100)*('Форма 4'!C195/100),2),0)</f>
        <v>0</v>
      </c>
      <c r="Z15" s="26">
        <f>IF(Определители!I15="9",ROUND((C15+E15)*(100-Начисления!M15/100)*('Форма 4'!C195/100),2),0)</f>
        <v>0</v>
      </c>
      <c r="AA15" s="26">
        <f>IF(Определители!I15="9",ROUND((C15+E15)*(Начисления!M15/100)*('Форма 4'!C198/100),2),0)</f>
        <v>0</v>
      </c>
      <c r="AB15" s="26">
        <f>IF(Определители!I15="9",ROUND((C15+E15)*(100-Начисления!M15/100)*('Форма 4'!C198/100),2),0)</f>
        <v>0</v>
      </c>
      <c r="AC15" s="26">
        <f>IF(Определители!I15="9",ROUND(B15*Начисления!M15/100,2),0)</f>
        <v>0</v>
      </c>
      <c r="AD15" s="26">
        <f>IF(Определители!I15="9",ROUND(B15*(100-Начисления!M15)/100,2),0)</f>
        <v>0</v>
      </c>
      <c r="AE15" s="26">
        <f>ROUND('Форма 4'!C183*'Текущие цены за единицу'!AE15,2)</f>
        <v>0</v>
      </c>
      <c r="AH15" s="26">
        <f>ROUND('Форма 4'!C183*'Текущие цены за единицу'!AH15,2)</f>
        <v>0</v>
      </c>
      <c r="AI15" s="26">
        <f>ROUND('Форма 4'!C183*'Текущие цены за единицу'!AI15,2)</f>
        <v>0</v>
      </c>
      <c r="AJ15" s="26">
        <f>ROUND('Форма 4'!C183*'Текущие цены за единицу'!AJ15,2)</f>
        <v>0</v>
      </c>
      <c r="AK15" s="26">
        <f>ROUND('Форма 4'!C183*'Текущие цены за единицу'!AK15,2)</f>
        <v>0</v>
      </c>
    </row>
    <row r="16" spans="1:37" ht="10.5">
      <c r="A16" s="26" t="str">
        <f>'Форма 4'!A202</f>
        <v>11.</v>
      </c>
      <c r="B16" s="26">
        <f t="shared" si="0"/>
        <v>316.44</v>
      </c>
      <c r="C16" s="26">
        <f>ROUND('Форма 4'!C202*'Текущие цены за единицу'!C16,2)</f>
        <v>316.44</v>
      </c>
      <c r="D16" s="26">
        <f>ROUND('Форма 4'!C202*'Текущие цены за единицу'!D16,2)</f>
        <v>0</v>
      </c>
      <c r="E16" s="26">
        <f>ROUND('Форма 4'!C202*'Текущие цены за единицу'!E16,2)</f>
        <v>0</v>
      </c>
      <c r="F16" s="26">
        <f>ROUND('Форма 4'!C202*'Текущие цены за единицу'!F16,2)</f>
        <v>0</v>
      </c>
      <c r="G16" s="26">
        <f>ROUND('Форма 4'!C202*'Текущие цены за единицу'!G16,2)</f>
        <v>0</v>
      </c>
      <c r="H16" s="26">
        <f>ROUND('Форма 4'!C202*'Текущие цены за единицу'!H16,2)</f>
        <v>0</v>
      </c>
      <c r="I16" s="30">
        <f>ОКРУГЛВСЕ('Форма 4'!C202*'Текущие цены за единицу'!I16,8)</f>
        <v>1.36</v>
      </c>
      <c r="J16" s="27">
        <f>ОКРУГЛВСЕ('Форма 4'!C202*'Текущие цены за единицу'!J16,8)</f>
        <v>0</v>
      </c>
      <c r="K16" s="30">
        <f>ОКРУГЛВСЕ('Форма 4'!C202*'Текущие цены за единицу'!K16,8)</f>
        <v>0</v>
      </c>
      <c r="L16" s="26">
        <f>ROUND('Форма 4'!C202*'Текущие цены за единицу'!L16,2)</f>
        <v>0</v>
      </c>
      <c r="M16" s="26">
        <f>ROUND('Форма 4'!C202*'Текущие цены за единицу'!M16,2)</f>
        <v>0</v>
      </c>
      <c r="N16" s="26">
        <f>ROUND((C16+E16)*'Форма 4'!C213/100,2)</f>
        <v>217.87</v>
      </c>
      <c r="O16" s="26">
        <f>ROUND((C16+E16)*'Форма 4'!C216/100,2)</f>
        <v>182.9</v>
      </c>
      <c r="P16" s="26">
        <f>ROUND('Форма 4'!C202*'Текущие цены за единицу'!P16,2)</f>
        <v>217.87</v>
      </c>
      <c r="Q16" s="26">
        <f>ROUND('Форма 4'!C202*'Текущие цены за единицу'!Q16,2)</f>
        <v>0</v>
      </c>
      <c r="R16" s="26">
        <f>ROUND('Форма 4'!C202*'Текущие цены за единицу'!R16,2)</f>
        <v>182.9</v>
      </c>
      <c r="S16" s="26">
        <f>ROUND('Форма 4'!C202*'Текущие цены за единицу'!S16,2)</f>
        <v>0</v>
      </c>
      <c r="T16" s="26">
        <f>ROUND('Форма 4'!C202*'Текущие цены за единицу'!T16,2)</f>
        <v>0</v>
      </c>
      <c r="U16" s="26">
        <f>ROUND('Форма 4'!C202*'Текущие цены за единицу'!U16,2)</f>
        <v>0</v>
      </c>
      <c r="V16" s="26">
        <f>ROUND('Форма 4'!C202*'Текущие цены за единицу'!V16,2)</f>
        <v>0</v>
      </c>
      <c r="X16" s="26">
        <f>ROUND('Форма 4'!C202*'Текущие цены за единицу'!X16,2)</f>
        <v>0</v>
      </c>
      <c r="Y16" s="26">
        <f>IF(Определители!I16="9",ROUND((C16+E16)*(Начисления!M16/100)*('Форма 4'!C213/100),2),0)</f>
        <v>0</v>
      </c>
      <c r="Z16" s="26">
        <f>IF(Определители!I16="9",ROUND((C16+E16)*(100-Начисления!M16/100)*('Форма 4'!C213/100),2),0)</f>
        <v>0</v>
      </c>
      <c r="AA16" s="26">
        <f>IF(Определители!I16="9",ROUND((C16+E16)*(Начисления!M16/100)*('Форма 4'!C216/100),2),0)</f>
        <v>0</v>
      </c>
      <c r="AB16" s="26">
        <f>IF(Определители!I16="9",ROUND((C16+E16)*(100-Начисления!M16/100)*('Форма 4'!C216/100),2),0)</f>
        <v>0</v>
      </c>
      <c r="AC16" s="26">
        <f>IF(Определители!I16="9",ROUND(B16*Начисления!M16/100,2),0)</f>
        <v>0</v>
      </c>
      <c r="AD16" s="26">
        <f>IF(Определители!I16="9",ROUND(B16*(100-Начисления!M16)/100,2),0)</f>
        <v>0</v>
      </c>
      <c r="AE16" s="26">
        <f>ROUND('Форма 4'!C202*'Текущие цены за единицу'!AE16,2)</f>
        <v>0</v>
      </c>
      <c r="AH16" s="26">
        <f>ROUND('Форма 4'!C202*'Текущие цены за единицу'!AH16,2)</f>
        <v>0</v>
      </c>
      <c r="AI16" s="26">
        <f>ROUND('Форма 4'!C202*'Текущие цены за единицу'!AI16,2)</f>
        <v>0</v>
      </c>
      <c r="AJ16" s="26">
        <f>ROUND('Форма 4'!C202*'Текущие цены за единицу'!AJ16,2)</f>
        <v>0</v>
      </c>
      <c r="AK16" s="26">
        <f>ROUND('Форма 4'!C202*'Текущие цены за единицу'!AK16,2)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16384" width="9.140625" style="26" customWidth="1"/>
  </cols>
  <sheetData>
    <row r="1" spans="1:50" s="28" customFormat="1" ht="10.5">
      <c r="A1" s="7"/>
      <c r="B1" s="28" t="s">
        <v>176</v>
      </c>
      <c r="C1" s="28" t="s">
        <v>177</v>
      </c>
      <c r="D1" s="28" t="s">
        <v>178</v>
      </c>
      <c r="E1" s="28" t="s">
        <v>179</v>
      </c>
      <c r="F1" s="28" t="s">
        <v>180</v>
      </c>
      <c r="G1" s="28" t="s">
        <v>181</v>
      </c>
      <c r="H1" s="28" t="s">
        <v>182</v>
      </c>
      <c r="I1" s="28" t="s">
        <v>183</v>
      </c>
      <c r="J1" s="28" t="s">
        <v>184</v>
      </c>
      <c r="K1" s="28" t="s">
        <v>185</v>
      </c>
      <c r="L1" s="28" t="s">
        <v>186</v>
      </c>
      <c r="M1" s="28" t="s">
        <v>187</v>
      </c>
      <c r="N1" s="28" t="s">
        <v>188</v>
      </c>
      <c r="O1" s="28" t="s">
        <v>189</v>
      </c>
      <c r="P1" s="28" t="s">
        <v>190</v>
      </c>
      <c r="Q1" s="28" t="s">
        <v>191</v>
      </c>
      <c r="R1" s="28" t="s">
        <v>192</v>
      </c>
      <c r="S1" s="28" t="s">
        <v>193</v>
      </c>
      <c r="T1" s="28" t="s">
        <v>194</v>
      </c>
      <c r="U1" s="28" t="s">
        <v>195</v>
      </c>
      <c r="V1" s="28" t="s">
        <v>196</v>
      </c>
      <c r="W1" s="28" t="s">
        <v>197</v>
      </c>
      <c r="X1" s="28" t="s">
        <v>198</v>
      </c>
      <c r="Y1" s="28" t="s">
        <v>199</v>
      </c>
      <c r="Z1" s="28" t="s">
        <v>200</v>
      </c>
      <c r="AA1" s="28" t="s">
        <v>201</v>
      </c>
      <c r="AB1" s="28" t="s">
        <v>202</v>
      </c>
      <c r="AC1" s="28" t="s">
        <v>203</v>
      </c>
      <c r="AD1" s="28" t="s">
        <v>204</v>
      </c>
      <c r="AE1" s="28" t="s">
        <v>205</v>
      </c>
      <c r="AF1" s="28" t="s">
        <v>206</v>
      </c>
      <c r="AG1" s="28" t="s">
        <v>207</v>
      </c>
      <c r="AH1" s="28" t="s">
        <v>208</v>
      </c>
      <c r="AI1" s="28" t="s">
        <v>209</v>
      </c>
      <c r="AJ1" s="28" t="s">
        <v>210</v>
      </c>
      <c r="AK1" s="28" t="s">
        <v>211</v>
      </c>
      <c r="AL1" s="28" t="s">
        <v>212</v>
      </c>
      <c r="AM1" s="28" t="s">
        <v>213</v>
      </c>
      <c r="AN1" s="28" t="s">
        <v>214</v>
      </c>
      <c r="AO1" s="28" t="s">
        <v>215</v>
      </c>
      <c r="AP1" s="28" t="s">
        <v>216</v>
      </c>
      <c r="AQ1" s="28" t="s">
        <v>217</v>
      </c>
      <c r="AR1" s="28" t="s">
        <v>218</v>
      </c>
      <c r="AS1" s="28" t="s">
        <v>219</v>
      </c>
      <c r="AT1" s="28" t="s">
        <v>220</v>
      </c>
      <c r="AU1" s="28" t="s">
        <v>221</v>
      </c>
      <c r="AV1" s="28" t="s">
        <v>222</v>
      </c>
      <c r="AW1" s="28" t="s">
        <v>223</v>
      </c>
      <c r="AX1" s="28" t="s">
        <v>224</v>
      </c>
    </row>
    <row r="2" spans="1:10" ht="10.5">
      <c r="A2" s="64"/>
      <c r="B2" s="65"/>
      <c r="C2" s="65"/>
      <c r="D2" s="65"/>
      <c r="E2" s="65"/>
      <c r="F2" s="65"/>
      <c r="G2" s="65"/>
      <c r="H2" s="65"/>
      <c r="I2" s="65"/>
      <c r="J2" s="65"/>
    </row>
    <row r="3" spans="1:10" ht="10.5">
      <c r="A3" s="29"/>
      <c r="B3" s="66" t="s">
        <v>174</v>
      </c>
      <c r="C3" s="66"/>
      <c r="D3" s="66"/>
      <c r="E3" s="66"/>
      <c r="F3" s="66"/>
      <c r="G3" s="66"/>
      <c r="H3" s="66"/>
      <c r="I3" s="66"/>
      <c r="J3" s="66"/>
    </row>
    <row r="4" spans="1:10" ht="10.5">
      <c r="A4" s="29"/>
      <c r="B4" s="66" t="s">
        <v>175</v>
      </c>
      <c r="C4" s="66"/>
      <c r="D4" s="66"/>
      <c r="E4" s="66"/>
      <c r="F4" s="66"/>
      <c r="G4" s="66"/>
      <c r="H4" s="66"/>
      <c r="I4" s="66"/>
      <c r="J4" s="66"/>
    </row>
    <row r="5" spans="1:10" ht="10.5">
      <c r="A5" s="64"/>
      <c r="B5" s="65"/>
      <c r="C5" s="65"/>
      <c r="D5" s="65"/>
      <c r="E5" s="65"/>
      <c r="F5" s="65"/>
      <c r="G5" s="65"/>
      <c r="H5" s="65"/>
      <c r="I5" s="65"/>
      <c r="J5" s="65"/>
    </row>
    <row r="6" spans="1:50" ht="10.5">
      <c r="A6" s="27" t="str">
        <f>'Форма 4'!A17</f>
        <v>1.</v>
      </c>
      <c r="B6" s="27">
        <v>1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>
        <v>0</v>
      </c>
      <c r="L6" s="27">
        <v>0</v>
      </c>
      <c r="M6" s="27">
        <v>100</v>
      </c>
      <c r="N6" s="27">
        <v>0</v>
      </c>
      <c r="O6" s="27">
        <v>0</v>
      </c>
      <c r="P6" s="27">
        <v>1</v>
      </c>
      <c r="Q6" s="27">
        <v>1</v>
      </c>
      <c r="R6" s="27">
        <v>0</v>
      </c>
      <c r="S6" s="27">
        <v>0</v>
      </c>
      <c r="T6" s="27">
        <v>1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1.7</v>
      </c>
      <c r="AH6" s="27">
        <v>1.6</v>
      </c>
      <c r="AI6" s="27">
        <v>1.29</v>
      </c>
      <c r="AJ6" s="27">
        <v>0.092</v>
      </c>
      <c r="AK6" s="27">
        <v>0.18</v>
      </c>
      <c r="AL6" s="27">
        <v>1</v>
      </c>
      <c r="AM6" s="27">
        <v>1</v>
      </c>
      <c r="AN6" s="27">
        <v>0.2</v>
      </c>
      <c r="AO6" s="27">
        <v>1.5</v>
      </c>
      <c r="AP6" s="27">
        <v>1</v>
      </c>
      <c r="AQ6" s="27">
        <v>1</v>
      </c>
      <c r="AR6" s="27">
        <v>1</v>
      </c>
      <c r="AS6" s="27">
        <v>1</v>
      </c>
      <c r="AT6" s="27">
        <v>1</v>
      </c>
      <c r="AU6" s="27">
        <v>100</v>
      </c>
      <c r="AV6" s="27">
        <v>1</v>
      </c>
      <c r="AW6" s="27">
        <v>1</v>
      </c>
      <c r="AX6" s="27">
        <v>1</v>
      </c>
    </row>
    <row r="7" spans="1:50" ht="10.5">
      <c r="A7" s="27" t="str">
        <f>'Форма 4'!A36</f>
        <v>2.</v>
      </c>
      <c r="B7" s="27">
        <v>1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0</v>
      </c>
      <c r="L7" s="27">
        <v>0</v>
      </c>
      <c r="M7" s="27">
        <v>100</v>
      </c>
      <c r="N7" s="27">
        <v>0</v>
      </c>
      <c r="O7" s="27">
        <v>0</v>
      </c>
      <c r="P7" s="27">
        <v>1</v>
      </c>
      <c r="Q7" s="27">
        <v>1</v>
      </c>
      <c r="R7" s="27">
        <v>0</v>
      </c>
      <c r="S7" s="27">
        <v>0</v>
      </c>
      <c r="T7" s="27">
        <v>1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1.7</v>
      </c>
      <c r="AH7" s="27">
        <v>1.6</v>
      </c>
      <c r="AI7" s="27">
        <v>1.29</v>
      </c>
      <c r="AJ7" s="27">
        <v>0.092</v>
      </c>
      <c r="AK7" s="27">
        <v>0.18</v>
      </c>
      <c r="AL7" s="27">
        <v>1</v>
      </c>
      <c r="AM7" s="27">
        <v>1</v>
      </c>
      <c r="AN7" s="27">
        <v>0.2</v>
      </c>
      <c r="AO7" s="27">
        <v>1.5</v>
      </c>
      <c r="AP7" s="27">
        <v>1</v>
      </c>
      <c r="AQ7" s="27">
        <v>1</v>
      </c>
      <c r="AR7" s="27">
        <v>1</v>
      </c>
      <c r="AS7" s="27">
        <v>1</v>
      </c>
      <c r="AT7" s="27">
        <v>1</v>
      </c>
      <c r="AU7" s="27">
        <v>100</v>
      </c>
      <c r="AV7" s="27">
        <v>1</v>
      </c>
      <c r="AW7" s="27">
        <v>1</v>
      </c>
      <c r="AX7" s="27">
        <v>1</v>
      </c>
    </row>
    <row r="8" spans="1:50" ht="10.5">
      <c r="A8" s="27" t="str">
        <f>'Форма 4'!A54</f>
        <v>3.</v>
      </c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0</v>
      </c>
      <c r="L8" s="27">
        <v>0</v>
      </c>
      <c r="M8" s="27">
        <v>100</v>
      </c>
      <c r="N8" s="27">
        <v>0</v>
      </c>
      <c r="O8" s="27">
        <v>0</v>
      </c>
      <c r="P8" s="27">
        <v>1</v>
      </c>
      <c r="Q8" s="27">
        <v>1</v>
      </c>
      <c r="R8" s="27">
        <v>0</v>
      </c>
      <c r="S8" s="27">
        <v>0</v>
      </c>
      <c r="T8" s="27">
        <v>1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1.7</v>
      </c>
      <c r="AH8" s="27">
        <v>1.6</v>
      </c>
      <c r="AI8" s="27">
        <v>1.29</v>
      </c>
      <c r="AJ8" s="27">
        <v>0.092</v>
      </c>
      <c r="AK8" s="27">
        <v>0.18</v>
      </c>
      <c r="AL8" s="27">
        <v>1</v>
      </c>
      <c r="AM8" s="27">
        <v>1</v>
      </c>
      <c r="AN8" s="27">
        <v>0.2</v>
      </c>
      <c r="AO8" s="27">
        <v>1.5</v>
      </c>
      <c r="AP8" s="27">
        <v>1</v>
      </c>
      <c r="AQ8" s="27">
        <v>1</v>
      </c>
      <c r="AR8" s="27">
        <v>1</v>
      </c>
      <c r="AS8" s="27">
        <v>1</v>
      </c>
      <c r="AT8" s="27">
        <v>1</v>
      </c>
      <c r="AU8" s="27">
        <v>100</v>
      </c>
      <c r="AV8" s="27">
        <v>1</v>
      </c>
      <c r="AW8" s="27">
        <v>1</v>
      </c>
      <c r="AX8" s="27">
        <v>1</v>
      </c>
    </row>
    <row r="9" spans="1:50" ht="10.5">
      <c r="A9" s="27" t="str">
        <f>'Форма 4'!A73</f>
        <v>4.</v>
      </c>
      <c r="B9" s="27">
        <v>1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0</v>
      </c>
      <c r="L9" s="27">
        <v>0</v>
      </c>
      <c r="M9" s="27">
        <v>100</v>
      </c>
      <c r="N9" s="27">
        <v>0</v>
      </c>
      <c r="O9" s="27">
        <v>0</v>
      </c>
      <c r="P9" s="27">
        <v>1</v>
      </c>
      <c r="Q9" s="27">
        <v>1</v>
      </c>
      <c r="R9" s="27">
        <v>0</v>
      </c>
      <c r="S9" s="27">
        <v>0</v>
      </c>
      <c r="T9" s="27">
        <v>1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1.7</v>
      </c>
      <c r="AH9" s="27">
        <v>1.6</v>
      </c>
      <c r="AI9" s="27">
        <v>1.29</v>
      </c>
      <c r="AJ9" s="27">
        <v>0.092</v>
      </c>
      <c r="AK9" s="27">
        <v>0.18</v>
      </c>
      <c r="AL9" s="27">
        <v>1</v>
      </c>
      <c r="AM9" s="27">
        <v>1</v>
      </c>
      <c r="AN9" s="27">
        <v>0.2</v>
      </c>
      <c r="AO9" s="27">
        <v>1.5</v>
      </c>
      <c r="AP9" s="27">
        <v>1</v>
      </c>
      <c r="AQ9" s="27">
        <v>1</v>
      </c>
      <c r="AR9" s="27">
        <v>1</v>
      </c>
      <c r="AS9" s="27">
        <v>1</v>
      </c>
      <c r="AT9" s="27">
        <v>1</v>
      </c>
      <c r="AU9" s="27">
        <v>100</v>
      </c>
      <c r="AV9" s="27">
        <v>1</v>
      </c>
      <c r="AW9" s="27">
        <v>1</v>
      </c>
      <c r="AX9" s="27">
        <v>1</v>
      </c>
    </row>
    <row r="10" spans="1:50" ht="10.5">
      <c r="A10" s="27" t="str">
        <f>'Форма 4'!A92</f>
        <v>5.</v>
      </c>
      <c r="B10" s="27">
        <v>1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0</v>
      </c>
      <c r="L10" s="27">
        <v>0</v>
      </c>
      <c r="M10" s="27">
        <v>100</v>
      </c>
      <c r="N10" s="27">
        <v>0</v>
      </c>
      <c r="O10" s="27">
        <v>0</v>
      </c>
      <c r="P10" s="27">
        <v>1</v>
      </c>
      <c r="Q10" s="27">
        <v>1</v>
      </c>
      <c r="R10" s="27">
        <v>0</v>
      </c>
      <c r="S10" s="27">
        <v>0</v>
      </c>
      <c r="T10" s="27">
        <v>1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1.7</v>
      </c>
      <c r="AH10" s="27">
        <v>1.6</v>
      </c>
      <c r="AI10" s="27">
        <v>1.29</v>
      </c>
      <c r="AJ10" s="27">
        <v>0.092</v>
      </c>
      <c r="AK10" s="27">
        <v>0.18</v>
      </c>
      <c r="AL10" s="27">
        <v>1</v>
      </c>
      <c r="AM10" s="27">
        <v>1</v>
      </c>
      <c r="AN10" s="27">
        <v>0.2</v>
      </c>
      <c r="AO10" s="27">
        <v>1.5</v>
      </c>
      <c r="AP10" s="27">
        <v>1</v>
      </c>
      <c r="AQ10" s="27">
        <v>1</v>
      </c>
      <c r="AR10" s="27">
        <v>1</v>
      </c>
      <c r="AS10" s="27">
        <v>1</v>
      </c>
      <c r="AT10" s="27">
        <v>1</v>
      </c>
      <c r="AU10" s="27">
        <v>100</v>
      </c>
      <c r="AV10" s="27">
        <v>1</v>
      </c>
      <c r="AW10" s="27">
        <v>1</v>
      </c>
      <c r="AX10" s="27">
        <v>1</v>
      </c>
    </row>
    <row r="11" spans="1:50" ht="10.5">
      <c r="A11" s="27" t="str">
        <f>'Форма 4'!A110</f>
        <v>6.</v>
      </c>
      <c r="B11" s="27">
        <v>1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0</v>
      </c>
      <c r="L11" s="27">
        <v>0</v>
      </c>
      <c r="M11" s="27">
        <v>100</v>
      </c>
      <c r="N11" s="27">
        <v>0</v>
      </c>
      <c r="O11" s="27">
        <v>0</v>
      </c>
      <c r="P11" s="27">
        <v>1</v>
      </c>
      <c r="Q11" s="27">
        <v>1</v>
      </c>
      <c r="R11" s="27">
        <v>0</v>
      </c>
      <c r="S11" s="27">
        <v>0</v>
      </c>
      <c r="T11" s="27">
        <v>1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1.7</v>
      </c>
      <c r="AH11" s="27">
        <v>1.6</v>
      </c>
      <c r="AI11" s="27">
        <v>1.29</v>
      </c>
      <c r="AJ11" s="27">
        <v>0.092</v>
      </c>
      <c r="AK11" s="27">
        <v>0.18</v>
      </c>
      <c r="AL11" s="27">
        <v>1</v>
      </c>
      <c r="AM11" s="27">
        <v>1</v>
      </c>
      <c r="AN11" s="27">
        <v>0.2</v>
      </c>
      <c r="AO11" s="27">
        <v>1.5</v>
      </c>
      <c r="AP11" s="27">
        <v>1</v>
      </c>
      <c r="AQ11" s="27">
        <v>1</v>
      </c>
      <c r="AR11" s="27">
        <v>1</v>
      </c>
      <c r="AS11" s="27">
        <v>1</v>
      </c>
      <c r="AT11" s="27">
        <v>1</v>
      </c>
      <c r="AU11" s="27">
        <v>100</v>
      </c>
      <c r="AV11" s="27">
        <v>1</v>
      </c>
      <c r="AW11" s="27">
        <v>1</v>
      </c>
      <c r="AX11" s="27">
        <v>1</v>
      </c>
    </row>
    <row r="12" spans="1:50" ht="10.5">
      <c r="A12" s="27" t="str">
        <f>'Форма 4'!A128</f>
        <v>7.</v>
      </c>
      <c r="B12" s="27">
        <v>1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0</v>
      </c>
      <c r="L12" s="27">
        <v>0</v>
      </c>
      <c r="M12" s="27">
        <v>100</v>
      </c>
      <c r="N12" s="27">
        <v>0</v>
      </c>
      <c r="O12" s="27">
        <v>0</v>
      </c>
      <c r="P12" s="27">
        <v>1</v>
      </c>
      <c r="Q12" s="27">
        <v>1</v>
      </c>
      <c r="R12" s="27">
        <v>0</v>
      </c>
      <c r="S12" s="27">
        <v>0</v>
      </c>
      <c r="T12" s="27">
        <v>1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1.7</v>
      </c>
      <c r="AH12" s="27">
        <v>1.6</v>
      </c>
      <c r="AI12" s="27">
        <v>1.29</v>
      </c>
      <c r="AJ12" s="27">
        <v>0.092</v>
      </c>
      <c r="AK12" s="27">
        <v>0.18</v>
      </c>
      <c r="AL12" s="27">
        <v>1</v>
      </c>
      <c r="AM12" s="27">
        <v>1</v>
      </c>
      <c r="AN12" s="27">
        <v>0.2</v>
      </c>
      <c r="AO12" s="27">
        <v>1.5</v>
      </c>
      <c r="AP12" s="27">
        <v>1</v>
      </c>
      <c r="AQ12" s="27">
        <v>1</v>
      </c>
      <c r="AR12" s="27">
        <v>1</v>
      </c>
      <c r="AS12" s="27">
        <v>1</v>
      </c>
      <c r="AT12" s="27">
        <v>1</v>
      </c>
      <c r="AU12" s="27">
        <v>100</v>
      </c>
      <c r="AV12" s="27">
        <v>1</v>
      </c>
      <c r="AW12" s="27">
        <v>1</v>
      </c>
      <c r="AX12" s="27">
        <v>1</v>
      </c>
    </row>
    <row r="13" spans="1:50" ht="10.5">
      <c r="A13" s="27" t="str">
        <f>'Форма 4'!A147</f>
        <v>8.</v>
      </c>
      <c r="B13" s="27">
        <v>1</v>
      </c>
      <c r="C13" s="27">
        <v>1</v>
      </c>
      <c r="D13" s="27">
        <v>1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>
        <v>0</v>
      </c>
      <c r="L13" s="27">
        <v>0</v>
      </c>
      <c r="M13" s="27">
        <v>100</v>
      </c>
      <c r="N13" s="27">
        <v>0</v>
      </c>
      <c r="O13" s="27">
        <v>0</v>
      </c>
      <c r="P13" s="27">
        <v>1</v>
      </c>
      <c r="Q13" s="27">
        <v>1</v>
      </c>
      <c r="R13" s="27">
        <v>0</v>
      </c>
      <c r="S13" s="27">
        <v>0</v>
      </c>
      <c r="T13" s="27">
        <v>1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1.7</v>
      </c>
      <c r="AH13" s="27">
        <v>1.6</v>
      </c>
      <c r="AI13" s="27">
        <v>1.29</v>
      </c>
      <c r="AJ13" s="27">
        <v>0.092</v>
      </c>
      <c r="AK13" s="27">
        <v>0.18</v>
      </c>
      <c r="AL13" s="27">
        <v>1</v>
      </c>
      <c r="AM13" s="27">
        <v>1</v>
      </c>
      <c r="AN13" s="27">
        <v>0.2</v>
      </c>
      <c r="AO13" s="27">
        <v>1.5</v>
      </c>
      <c r="AP13" s="27">
        <v>1</v>
      </c>
      <c r="AQ13" s="27">
        <v>1</v>
      </c>
      <c r="AR13" s="27">
        <v>1</v>
      </c>
      <c r="AS13" s="27">
        <v>1</v>
      </c>
      <c r="AT13" s="27">
        <v>1</v>
      </c>
      <c r="AU13" s="27">
        <v>100</v>
      </c>
      <c r="AV13" s="27">
        <v>1</v>
      </c>
      <c r="AW13" s="27">
        <v>1</v>
      </c>
      <c r="AX13" s="27">
        <v>1</v>
      </c>
    </row>
    <row r="14" spans="1:50" ht="10.5">
      <c r="A14" s="27" t="str">
        <f>'Форма 4'!A165</f>
        <v>9.</v>
      </c>
      <c r="B14" s="27">
        <v>1</v>
      </c>
      <c r="C14" s="27">
        <v>1</v>
      </c>
      <c r="D14" s="27">
        <v>1</v>
      </c>
      <c r="E14" s="27">
        <v>1</v>
      </c>
      <c r="F14" s="27">
        <v>1</v>
      </c>
      <c r="G14" s="27">
        <v>1</v>
      </c>
      <c r="H14" s="27">
        <v>1</v>
      </c>
      <c r="I14" s="27">
        <v>1</v>
      </c>
      <c r="J14" s="27">
        <v>1</v>
      </c>
      <c r="K14" s="27">
        <v>0</v>
      </c>
      <c r="L14" s="27">
        <v>0</v>
      </c>
      <c r="M14" s="27">
        <v>100</v>
      </c>
      <c r="N14" s="27">
        <v>0</v>
      </c>
      <c r="O14" s="27">
        <v>0</v>
      </c>
      <c r="P14" s="27">
        <v>1</v>
      </c>
      <c r="Q14" s="27">
        <v>1</v>
      </c>
      <c r="R14" s="27">
        <v>0</v>
      </c>
      <c r="S14" s="27">
        <v>0</v>
      </c>
      <c r="T14" s="27">
        <v>1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1.7</v>
      </c>
      <c r="AH14" s="27">
        <v>1.6</v>
      </c>
      <c r="AI14" s="27">
        <v>1.29</v>
      </c>
      <c r="AJ14" s="27">
        <v>0.092</v>
      </c>
      <c r="AK14" s="27">
        <v>0.18</v>
      </c>
      <c r="AL14" s="27">
        <v>1</v>
      </c>
      <c r="AM14" s="27">
        <v>1</v>
      </c>
      <c r="AN14" s="27">
        <v>0.2</v>
      </c>
      <c r="AO14" s="27">
        <v>1.5</v>
      </c>
      <c r="AP14" s="27">
        <v>1</v>
      </c>
      <c r="AQ14" s="27">
        <v>1</v>
      </c>
      <c r="AR14" s="27">
        <v>1</v>
      </c>
      <c r="AS14" s="27">
        <v>1</v>
      </c>
      <c r="AT14" s="27">
        <v>1</v>
      </c>
      <c r="AU14" s="27">
        <v>100</v>
      </c>
      <c r="AV14" s="27">
        <v>1</v>
      </c>
      <c r="AW14" s="27">
        <v>1</v>
      </c>
      <c r="AX14" s="27">
        <v>1</v>
      </c>
    </row>
    <row r="15" spans="1:50" ht="10.5">
      <c r="A15" s="27" t="str">
        <f>'Форма 4'!A183</f>
        <v>10.</v>
      </c>
      <c r="B15" s="27">
        <v>1</v>
      </c>
      <c r="C15" s="27">
        <v>1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>
        <v>0</v>
      </c>
      <c r="L15" s="27">
        <v>0</v>
      </c>
      <c r="M15" s="27">
        <v>100</v>
      </c>
      <c r="N15" s="27">
        <v>0</v>
      </c>
      <c r="O15" s="27">
        <v>0</v>
      </c>
      <c r="P15" s="27">
        <v>1</v>
      </c>
      <c r="Q15" s="27">
        <v>1</v>
      </c>
      <c r="R15" s="27">
        <v>0</v>
      </c>
      <c r="S15" s="27">
        <v>0</v>
      </c>
      <c r="T15" s="27">
        <v>1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1.7</v>
      </c>
      <c r="AH15" s="27">
        <v>1.6</v>
      </c>
      <c r="AI15" s="27">
        <v>1.29</v>
      </c>
      <c r="AJ15" s="27">
        <v>0.092</v>
      </c>
      <c r="AK15" s="27">
        <v>0.18</v>
      </c>
      <c r="AL15" s="27">
        <v>1</v>
      </c>
      <c r="AM15" s="27">
        <v>1</v>
      </c>
      <c r="AN15" s="27">
        <v>0.2</v>
      </c>
      <c r="AO15" s="27">
        <v>1.5</v>
      </c>
      <c r="AP15" s="27">
        <v>1</v>
      </c>
      <c r="AQ15" s="27">
        <v>1</v>
      </c>
      <c r="AR15" s="27">
        <v>1</v>
      </c>
      <c r="AS15" s="27">
        <v>1</v>
      </c>
      <c r="AT15" s="27">
        <v>1</v>
      </c>
      <c r="AU15" s="27">
        <v>100</v>
      </c>
      <c r="AV15" s="27">
        <v>1</v>
      </c>
      <c r="AW15" s="27">
        <v>1</v>
      </c>
      <c r="AX15" s="27">
        <v>1</v>
      </c>
    </row>
    <row r="16" spans="1:50" ht="10.5">
      <c r="A16" s="27" t="str">
        <f>'Форма 4'!A202</f>
        <v>11.</v>
      </c>
      <c r="B16" s="27">
        <v>1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0</v>
      </c>
      <c r="L16" s="27">
        <v>0</v>
      </c>
      <c r="M16" s="27">
        <v>100</v>
      </c>
      <c r="N16" s="27">
        <v>0</v>
      </c>
      <c r="O16" s="27">
        <v>0</v>
      </c>
      <c r="P16" s="27">
        <v>1</v>
      </c>
      <c r="Q16" s="27">
        <v>1</v>
      </c>
      <c r="R16" s="27">
        <v>0</v>
      </c>
      <c r="S16" s="27">
        <v>0</v>
      </c>
      <c r="T16" s="27">
        <v>1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1.7</v>
      </c>
      <c r="AH16" s="27">
        <v>1.6</v>
      </c>
      <c r="AI16" s="27">
        <v>1.29</v>
      </c>
      <c r="AJ16" s="27">
        <v>0.092</v>
      </c>
      <c r="AK16" s="27">
        <v>0.18</v>
      </c>
      <c r="AL16" s="27">
        <v>1</v>
      </c>
      <c r="AM16" s="27">
        <v>1</v>
      </c>
      <c r="AN16" s="27">
        <v>0.2</v>
      </c>
      <c r="AO16" s="27">
        <v>1.5</v>
      </c>
      <c r="AP16" s="27">
        <v>1</v>
      </c>
      <c r="AQ16" s="27">
        <v>1</v>
      </c>
      <c r="AR16" s="27">
        <v>1</v>
      </c>
      <c r="AS16" s="27">
        <v>1</v>
      </c>
      <c r="AT16" s="27">
        <v>1</v>
      </c>
      <c r="AU16" s="27">
        <v>100</v>
      </c>
      <c r="AV16" s="27">
        <v>1</v>
      </c>
      <c r="AW16" s="27">
        <v>1</v>
      </c>
      <c r="AX16" s="27">
        <v>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2" customWidth="1"/>
    <col min="2" max="16384" width="9.140625" style="31" customWidth="1"/>
  </cols>
  <sheetData>
    <row r="1" spans="2:10" s="28" customFormat="1" ht="10.5">
      <c r="B1" s="28" t="s">
        <v>225</v>
      </c>
      <c r="C1" s="28" t="s">
        <v>226</v>
      </c>
      <c r="D1" s="28" t="s">
        <v>227</v>
      </c>
      <c r="E1" s="28" t="s">
        <v>228</v>
      </c>
      <c r="F1" s="28" t="s">
        <v>229</v>
      </c>
      <c r="G1" s="28" t="s">
        <v>230</v>
      </c>
      <c r="H1" s="28" t="s">
        <v>231</v>
      </c>
      <c r="I1" s="28" t="s">
        <v>232</v>
      </c>
      <c r="J1" s="28" t="s">
        <v>233</v>
      </c>
    </row>
    <row r="2" spans="1:10" ht="10.5">
      <c r="A2" s="67"/>
      <c r="B2" s="68"/>
      <c r="C2" s="68"/>
      <c r="D2" s="68"/>
      <c r="E2" s="68"/>
      <c r="F2" s="68"/>
      <c r="G2" s="68"/>
      <c r="H2" s="68"/>
      <c r="I2" s="68"/>
      <c r="J2" s="68"/>
    </row>
    <row r="3" spans="1:10" ht="10.5">
      <c r="A3" s="33"/>
      <c r="B3" s="69" t="s">
        <v>174</v>
      </c>
      <c r="C3" s="69"/>
      <c r="D3" s="69"/>
      <c r="E3" s="69"/>
      <c r="F3" s="69"/>
      <c r="G3" s="69"/>
      <c r="H3" s="69"/>
      <c r="I3" s="69"/>
      <c r="J3" s="69"/>
    </row>
    <row r="4" spans="1:10" ht="10.5">
      <c r="A4" s="33"/>
      <c r="B4" s="69" t="s">
        <v>175</v>
      </c>
      <c r="C4" s="69"/>
      <c r="D4" s="69"/>
      <c r="E4" s="69"/>
      <c r="F4" s="69"/>
      <c r="G4" s="69"/>
      <c r="H4" s="69"/>
      <c r="I4" s="69"/>
      <c r="J4" s="69"/>
    </row>
    <row r="5" spans="1:10" ht="10.5">
      <c r="A5" s="67"/>
      <c r="B5" s="68"/>
      <c r="C5" s="68"/>
      <c r="D5" s="68"/>
      <c r="E5" s="68"/>
      <c r="F5" s="68"/>
      <c r="G5" s="68"/>
      <c r="H5" s="68"/>
      <c r="I5" s="68"/>
      <c r="J5" s="68"/>
    </row>
    <row r="6" spans="1:10" ht="10.5">
      <c r="A6" s="32" t="str">
        <f>'Форма 4'!A17</f>
        <v>1.</v>
      </c>
      <c r="B6" s="31" t="s">
        <v>234</v>
      </c>
      <c r="C6" s="31" t="s">
        <v>234</v>
      </c>
      <c r="D6" s="31" t="s">
        <v>235</v>
      </c>
      <c r="E6" s="31" t="s">
        <v>235</v>
      </c>
      <c r="F6" s="31" t="s">
        <v>236</v>
      </c>
      <c r="G6" s="31" t="s">
        <v>235</v>
      </c>
      <c r="H6" s="31" t="s">
        <v>235</v>
      </c>
      <c r="I6" s="31" t="s">
        <v>237</v>
      </c>
      <c r="J6" s="31" t="s">
        <v>235</v>
      </c>
    </row>
    <row r="7" spans="1:10" ht="10.5">
      <c r="A7" s="32" t="str">
        <f>'Форма 4'!A36</f>
        <v>2.</v>
      </c>
      <c r="B7" s="31" t="s">
        <v>234</v>
      </c>
      <c r="C7" s="31" t="s">
        <v>234</v>
      </c>
      <c r="D7" s="31" t="s">
        <v>235</v>
      </c>
      <c r="E7" s="31" t="s">
        <v>235</v>
      </c>
      <c r="F7" s="31" t="s">
        <v>236</v>
      </c>
      <c r="G7" s="31" t="s">
        <v>235</v>
      </c>
      <c r="H7" s="31" t="s">
        <v>235</v>
      </c>
      <c r="I7" s="31" t="s">
        <v>237</v>
      </c>
      <c r="J7" s="31" t="s">
        <v>235</v>
      </c>
    </row>
    <row r="8" spans="1:10" ht="10.5">
      <c r="A8" s="32" t="str">
        <f>'Форма 4'!A54</f>
        <v>3.</v>
      </c>
      <c r="B8" s="31" t="s">
        <v>234</v>
      </c>
      <c r="C8" s="31" t="s">
        <v>234</v>
      </c>
      <c r="D8" s="31" t="s">
        <v>235</v>
      </c>
      <c r="E8" s="31" t="s">
        <v>235</v>
      </c>
      <c r="F8" s="31" t="s">
        <v>236</v>
      </c>
      <c r="G8" s="31" t="s">
        <v>238</v>
      </c>
      <c r="H8" s="31" t="s">
        <v>235</v>
      </c>
      <c r="I8" s="31" t="s">
        <v>239</v>
      </c>
      <c r="J8" s="31" t="s">
        <v>235</v>
      </c>
    </row>
    <row r="9" spans="1:10" ht="10.5">
      <c r="A9" s="32" t="str">
        <f>'Форма 4'!A73</f>
        <v>4.</v>
      </c>
      <c r="B9" s="31" t="s">
        <v>234</v>
      </c>
      <c r="C9" s="31" t="s">
        <v>234</v>
      </c>
      <c r="D9" s="31" t="s">
        <v>235</v>
      </c>
      <c r="E9" s="31" t="s">
        <v>235</v>
      </c>
      <c r="F9" s="31" t="s">
        <v>236</v>
      </c>
      <c r="G9" s="31" t="s">
        <v>235</v>
      </c>
      <c r="H9" s="31" t="s">
        <v>235</v>
      </c>
      <c r="I9" s="31" t="s">
        <v>237</v>
      </c>
      <c r="J9" s="31" t="s">
        <v>235</v>
      </c>
    </row>
    <row r="10" spans="1:10" ht="10.5">
      <c r="A10" s="32" t="str">
        <f>'Форма 4'!A92</f>
        <v>5.</v>
      </c>
      <c r="B10" s="31" t="s">
        <v>234</v>
      </c>
      <c r="C10" s="31" t="s">
        <v>234</v>
      </c>
      <c r="D10" s="31" t="s">
        <v>235</v>
      </c>
      <c r="E10" s="31" t="s">
        <v>235</v>
      </c>
      <c r="F10" s="31" t="s">
        <v>236</v>
      </c>
      <c r="G10" s="31" t="s">
        <v>235</v>
      </c>
      <c r="H10" s="31" t="s">
        <v>235</v>
      </c>
      <c r="I10" s="31" t="s">
        <v>237</v>
      </c>
      <c r="J10" s="31" t="s">
        <v>235</v>
      </c>
    </row>
    <row r="11" spans="1:10" ht="10.5">
      <c r="A11" s="32" t="str">
        <f>'Форма 4'!A110</f>
        <v>6.</v>
      </c>
      <c r="B11" s="31" t="s">
        <v>234</v>
      </c>
      <c r="C11" s="31" t="s">
        <v>234</v>
      </c>
      <c r="D11" s="31" t="s">
        <v>235</v>
      </c>
      <c r="E11" s="31" t="s">
        <v>235</v>
      </c>
      <c r="F11" s="31" t="s">
        <v>236</v>
      </c>
      <c r="G11" s="31" t="s">
        <v>238</v>
      </c>
      <c r="H11" s="31" t="s">
        <v>235</v>
      </c>
      <c r="I11" s="31" t="s">
        <v>239</v>
      </c>
      <c r="J11" s="31" t="s">
        <v>235</v>
      </c>
    </row>
    <row r="12" spans="1:10" ht="10.5">
      <c r="A12" s="32" t="str">
        <f>'Форма 4'!A128</f>
        <v>7.</v>
      </c>
      <c r="B12" s="31" t="s">
        <v>234</v>
      </c>
      <c r="C12" s="31" t="s">
        <v>234</v>
      </c>
      <c r="D12" s="31" t="s">
        <v>235</v>
      </c>
      <c r="E12" s="31" t="s">
        <v>235</v>
      </c>
      <c r="F12" s="31" t="s">
        <v>234</v>
      </c>
      <c r="G12" s="31" t="s">
        <v>235</v>
      </c>
      <c r="H12" s="31" t="s">
        <v>235</v>
      </c>
      <c r="I12" s="31" t="s">
        <v>238</v>
      </c>
      <c r="J12" s="31" t="s">
        <v>235</v>
      </c>
    </row>
    <row r="13" spans="1:10" ht="10.5">
      <c r="A13" s="32" t="str">
        <f>'Форма 4'!A147</f>
        <v>8.</v>
      </c>
      <c r="B13" s="31" t="s">
        <v>234</v>
      </c>
      <c r="C13" s="31" t="s">
        <v>234</v>
      </c>
      <c r="D13" s="31" t="s">
        <v>235</v>
      </c>
      <c r="E13" s="31" t="s">
        <v>235</v>
      </c>
      <c r="F13" s="31" t="s">
        <v>237</v>
      </c>
      <c r="G13" s="31" t="s">
        <v>234</v>
      </c>
      <c r="H13" s="31" t="s">
        <v>235</v>
      </c>
      <c r="I13" s="31" t="s">
        <v>240</v>
      </c>
      <c r="J13" s="31" t="s">
        <v>235</v>
      </c>
    </row>
    <row r="14" spans="1:10" ht="10.5">
      <c r="A14" s="32" t="str">
        <f>'Форма 4'!A165</f>
        <v>9.</v>
      </c>
      <c r="B14" s="31" t="s">
        <v>234</v>
      </c>
      <c r="C14" s="31" t="s">
        <v>234</v>
      </c>
      <c r="D14" s="31" t="s">
        <v>235</v>
      </c>
      <c r="E14" s="31" t="s">
        <v>235</v>
      </c>
      <c r="F14" s="31" t="s">
        <v>234</v>
      </c>
      <c r="G14" s="31" t="s">
        <v>235</v>
      </c>
      <c r="H14" s="31" t="s">
        <v>235</v>
      </c>
      <c r="I14" s="31" t="s">
        <v>238</v>
      </c>
      <c r="J14" s="31" t="s">
        <v>235</v>
      </c>
    </row>
    <row r="15" spans="1:10" ht="10.5">
      <c r="A15" s="32" t="str">
        <f>'Форма 4'!A183</f>
        <v>10.</v>
      </c>
      <c r="B15" s="31" t="s">
        <v>234</v>
      </c>
      <c r="C15" s="31" t="s">
        <v>234</v>
      </c>
      <c r="D15" s="31" t="s">
        <v>235</v>
      </c>
      <c r="E15" s="31" t="s">
        <v>235</v>
      </c>
      <c r="F15" s="31" t="s">
        <v>236</v>
      </c>
      <c r="G15" s="31" t="s">
        <v>234</v>
      </c>
      <c r="H15" s="31" t="s">
        <v>235</v>
      </c>
      <c r="I15" s="31" t="s">
        <v>237</v>
      </c>
      <c r="J15" s="31" t="s">
        <v>235</v>
      </c>
    </row>
    <row r="16" spans="1:10" ht="10.5">
      <c r="A16" s="32" t="str">
        <f>'Форма 4'!A202</f>
        <v>11.</v>
      </c>
      <c r="B16" s="31" t="s">
        <v>234</v>
      </c>
      <c r="C16" s="31" t="s">
        <v>234</v>
      </c>
      <c r="D16" s="31" t="s">
        <v>235</v>
      </c>
      <c r="E16" s="31" t="s">
        <v>235</v>
      </c>
      <c r="F16" s="31" t="s">
        <v>234</v>
      </c>
      <c r="G16" s="31" t="s">
        <v>235</v>
      </c>
      <c r="H16" s="31" t="s">
        <v>235</v>
      </c>
      <c r="I16" s="31" t="s">
        <v>238</v>
      </c>
      <c r="J16" s="31" t="s">
        <v>235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93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2" width="44.421875" style="9" customWidth="1"/>
    <col min="3" max="3" width="3.421875" style="31" customWidth="1"/>
    <col min="4" max="4" width="6.00390625" style="34" customWidth="1"/>
    <col min="5" max="5" width="6.00390625" style="9" customWidth="1"/>
    <col min="6" max="9" width="12.7109375" style="34" customWidth="1"/>
    <col min="10" max="11" width="18.7109375" style="34" customWidth="1"/>
    <col min="12" max="12" width="12.7109375" style="34" customWidth="1"/>
    <col min="13" max="13" width="9.140625" style="34" customWidth="1"/>
    <col min="14" max="14" width="3.421875" style="31" hidden="1" customWidth="1"/>
    <col min="15" max="16384" width="9.140625" style="34" customWidth="1"/>
  </cols>
  <sheetData>
    <row r="2" spans="1:14" ht="10.5">
      <c r="A2" s="64"/>
      <c r="B2" s="70"/>
      <c r="C2" s="70"/>
      <c r="D2" s="71"/>
      <c r="E2" s="70"/>
      <c r="F2" s="71"/>
      <c r="G2" s="71"/>
      <c r="H2" s="71"/>
      <c r="I2" s="71"/>
      <c r="J2" s="71"/>
      <c r="N2" s="34"/>
    </row>
    <row r="3" spans="1:14" ht="10.5">
      <c r="A3" s="29"/>
      <c r="B3" s="66" t="s">
        <v>174</v>
      </c>
      <c r="C3" s="66"/>
      <c r="D3" s="66"/>
      <c r="E3" s="66"/>
      <c r="F3" s="66"/>
      <c r="G3" s="66"/>
      <c r="H3" s="66"/>
      <c r="I3" s="66"/>
      <c r="J3" s="66"/>
      <c r="N3" s="34"/>
    </row>
    <row r="4" spans="1:14" ht="10.5">
      <c r="A4" s="29"/>
      <c r="B4" s="66" t="s">
        <v>175</v>
      </c>
      <c r="C4" s="66"/>
      <c r="D4" s="66"/>
      <c r="E4" s="66"/>
      <c r="F4" s="66"/>
      <c r="G4" s="66"/>
      <c r="H4" s="66"/>
      <c r="I4" s="66"/>
      <c r="J4" s="66"/>
      <c r="N4" s="34"/>
    </row>
    <row r="5" spans="1:14" ht="10.5">
      <c r="A5" s="64"/>
      <c r="B5" s="70"/>
      <c r="C5" s="70"/>
      <c r="D5" s="71"/>
      <c r="E5" s="70"/>
      <c r="F5" s="71"/>
      <c r="G5" s="71"/>
      <c r="H5" s="71"/>
      <c r="I5" s="71"/>
      <c r="J5" s="71"/>
      <c r="N5" s="34"/>
    </row>
    <row r="6" spans="1:13" s="28" customFormat="1" ht="10.5">
      <c r="A6" s="7"/>
      <c r="B6" s="28" t="s">
        <v>241</v>
      </c>
      <c r="C6" s="28" t="s">
        <v>242</v>
      </c>
      <c r="D6" s="35" t="s">
        <v>243</v>
      </c>
      <c r="E6" s="28" t="s">
        <v>244</v>
      </c>
      <c r="F6" s="28" t="s">
        <v>245</v>
      </c>
      <c r="G6" s="28" t="s">
        <v>246</v>
      </c>
      <c r="H6" s="28" t="s">
        <v>247</v>
      </c>
      <c r="I6" s="28" t="s">
        <v>248</v>
      </c>
      <c r="J6" s="28" t="s">
        <v>249</v>
      </c>
      <c r="K6" s="28" t="s">
        <v>250</v>
      </c>
      <c r="L6" s="28" t="s">
        <v>251</v>
      </c>
      <c r="M6" s="28" t="s">
        <v>252</v>
      </c>
    </row>
    <row r="7" spans="1:14" ht="10.5">
      <c r="A7" s="27">
        <v>1</v>
      </c>
      <c r="B7" s="9" t="s">
        <v>78</v>
      </c>
      <c r="C7" s="31" t="s">
        <v>253</v>
      </c>
      <c r="D7" s="34">
        <v>0</v>
      </c>
      <c r="E7" s="34"/>
      <c r="F7" s="26">
        <f>ROUND(SUM('Текущие цены с учетом расхода'!B6:B16),2)</f>
        <v>35731.93</v>
      </c>
      <c r="G7" s="26">
        <f>ROUND(SUM('Текущие цены с учетом расхода'!C6:C16),2)</f>
        <v>3885.31</v>
      </c>
      <c r="H7" s="26">
        <f>ROUND(SUM('Текущие цены с учетом расхода'!D6:D16),2)</f>
        <v>7878.14</v>
      </c>
      <c r="I7" s="26">
        <f>ROUND(SUM('Текущие цены с учетом расхода'!E6:E16),2)</f>
        <v>811.7</v>
      </c>
      <c r="J7" s="30">
        <f>ROUND(SUM('Текущие цены с учетом расхода'!I6:I16),8)</f>
        <v>16.47437</v>
      </c>
      <c r="K7" s="30">
        <f>ROUND(SUM('Текущие цены с учетом расхода'!K6:K16),8)</f>
        <v>2.835925</v>
      </c>
      <c r="L7" s="26">
        <f>ROUND(SUM('Текущие цены с учетом расхода'!F6:F16),2)</f>
        <v>23968.48</v>
      </c>
      <c r="N7" s="31" t="s">
        <v>234</v>
      </c>
    </row>
    <row r="8" spans="1:14" ht="10.5">
      <c r="A8" s="27">
        <v>2</v>
      </c>
      <c r="B8" s="9" t="s">
        <v>79</v>
      </c>
      <c r="C8" s="31" t="s">
        <v>254</v>
      </c>
      <c r="D8" s="34">
        <v>0</v>
      </c>
      <c r="F8" s="26">
        <f>ROUND(SUMIF(Определители!I6:I16,"= ",'Текущие цены с учетом расхода'!B6:B16),2)</f>
        <v>0</v>
      </c>
      <c r="G8" s="26">
        <f>ROUND(SUMIF(Определители!I6:I16,"= ",'Текущие цены с учетом расхода'!C6:C16),2)</f>
        <v>0</v>
      </c>
      <c r="H8" s="26">
        <f>ROUND(SUMIF(Определители!I6:I16,"= ",'Текущие цены с учетом расхода'!D6:D16),2)</f>
        <v>0</v>
      </c>
      <c r="I8" s="26">
        <f>ROUND(SUMIF(Определители!I6:I16,"= ",'Текущие цены с учетом расхода'!E6:E16),2)</f>
        <v>0</v>
      </c>
      <c r="J8" s="30">
        <f>ROUND(SUMIF(Определители!I6:I16,"= ",'Текущие цены с учетом расхода'!I6:I16),8)</f>
        <v>0</v>
      </c>
      <c r="K8" s="30">
        <f>ROUND(SUMIF(Определители!I6:I16,"= ",'Текущие цены с учетом расхода'!K6:K16),8)</f>
        <v>0</v>
      </c>
      <c r="L8" s="26">
        <f>ROUND(SUMIF(Определители!I6:I16,"= ",'Текущие цены с учетом расхода'!F6:F16),2)</f>
        <v>0</v>
      </c>
      <c r="N8" s="31" t="s">
        <v>237</v>
      </c>
    </row>
    <row r="9" spans="1:14" ht="10.5">
      <c r="A9" s="27">
        <v>3</v>
      </c>
      <c r="B9" s="9" t="s">
        <v>80</v>
      </c>
      <c r="C9" s="31" t="s">
        <v>254</v>
      </c>
      <c r="D9" s="34">
        <v>0</v>
      </c>
      <c r="F9" s="26">
        <f>ROUND(СУММПРОИЗВЕСЛИ(0.01,Определители!I6:I16," ",'Текущие цены с учетом расхода'!B6:B16,Начисления!X6:X16,0),2)</f>
        <v>0</v>
      </c>
      <c r="G9" s="26"/>
      <c r="H9" s="26"/>
      <c r="I9" s="26"/>
      <c r="J9" s="30"/>
      <c r="K9" s="30"/>
      <c r="L9" s="26"/>
      <c r="N9" s="31" t="s">
        <v>238</v>
      </c>
    </row>
    <row r="10" spans="1:14" ht="10.5">
      <c r="A10" s="27">
        <v>4</v>
      </c>
      <c r="B10" s="9" t="s">
        <v>81</v>
      </c>
      <c r="C10" s="31" t="s">
        <v>254</v>
      </c>
      <c r="D10" s="34">
        <v>0</v>
      </c>
      <c r="F10" s="26">
        <f>ROUND(СУММПРОИЗВЕСЛИ(0.01,Определители!I6:I16," ",'Текущие цены с учетом расхода'!B6:B16,Начисления!Y6:Y16,0),2)</f>
        <v>0</v>
      </c>
      <c r="G10" s="26"/>
      <c r="H10" s="26"/>
      <c r="I10" s="26"/>
      <c r="J10" s="30"/>
      <c r="K10" s="30"/>
      <c r="L10" s="26"/>
      <c r="N10" s="31" t="s">
        <v>240</v>
      </c>
    </row>
    <row r="11" spans="1:14" ht="10.5">
      <c r="A11" s="27">
        <v>5</v>
      </c>
      <c r="B11" s="9" t="s">
        <v>82</v>
      </c>
      <c r="C11" s="31" t="s">
        <v>254</v>
      </c>
      <c r="D11" s="34">
        <v>0</v>
      </c>
      <c r="F11" s="26">
        <f>ROUND(ТРАНСПРАСХОД(Определители!B6:B16,Определители!H6:H16,Определители!I6:I16,'Текущие цены с учетом расхода'!B6:B16,Начисления!Z6:Z16,Начисления!AA6:AA16),2)</f>
        <v>0</v>
      </c>
      <c r="G11" s="26"/>
      <c r="H11" s="26"/>
      <c r="I11" s="26"/>
      <c r="J11" s="30"/>
      <c r="K11" s="30"/>
      <c r="L11" s="26"/>
      <c r="N11" s="31" t="s">
        <v>255</v>
      </c>
    </row>
    <row r="12" spans="1:14" ht="10.5">
      <c r="A12" s="27">
        <v>6</v>
      </c>
      <c r="B12" s="9" t="s">
        <v>83</v>
      </c>
      <c r="C12" s="31" t="s">
        <v>254</v>
      </c>
      <c r="D12" s="34">
        <v>0</v>
      </c>
      <c r="F12" s="26">
        <f>ROUND(СУММПРОИЗВЕСЛИ(0.01,Определители!I6:I16," ",'Текущие цены с учетом расхода'!B6:B16,Начисления!AC6:AC16,0),2)</f>
        <v>0</v>
      </c>
      <c r="G12" s="26"/>
      <c r="H12" s="26"/>
      <c r="I12" s="26"/>
      <c r="J12" s="30"/>
      <c r="K12" s="30"/>
      <c r="L12" s="26"/>
      <c r="N12" s="31" t="s">
        <v>256</v>
      </c>
    </row>
    <row r="13" spans="1:14" ht="10.5">
      <c r="A13" s="27">
        <v>7</v>
      </c>
      <c r="B13" s="9" t="s">
        <v>84</v>
      </c>
      <c r="C13" s="31" t="s">
        <v>254</v>
      </c>
      <c r="D13" s="34">
        <v>0</v>
      </c>
      <c r="F13" s="26">
        <f>ROUND(СУММПРОИЗВЕСЛИ(0.01,Определители!I6:I16," ",'Текущие цены с учетом расхода'!B6:B16,Начисления!AF6:AF16,0),2)</f>
        <v>0</v>
      </c>
      <c r="G13" s="26"/>
      <c r="H13" s="26"/>
      <c r="I13" s="26"/>
      <c r="J13" s="30"/>
      <c r="K13" s="30"/>
      <c r="L13" s="26"/>
      <c r="N13" s="31" t="s">
        <v>257</v>
      </c>
    </row>
    <row r="14" spans="1:14" ht="10.5">
      <c r="A14" s="27">
        <v>8</v>
      </c>
      <c r="B14" s="9" t="s">
        <v>85</v>
      </c>
      <c r="C14" s="31" t="s">
        <v>254</v>
      </c>
      <c r="D14" s="34">
        <v>0</v>
      </c>
      <c r="F14" s="26">
        <f>ROUND(ЗАГОТСКЛАДРАСХОД(Определители!B6:B16,Определители!H6:H16,Определители!I6:I16,'Текущие цены с учетом расхода'!B6:B16,Начисления!X6:X16,Начисления!Y6:Y16,Начисления!Z6:Z16,Начисления!AA6:AA16,Начисления!AB6:AB16,Начисления!AC6:AC16,Начисления!AF6:AF16),2)</f>
        <v>0</v>
      </c>
      <c r="G14" s="26"/>
      <c r="H14" s="26"/>
      <c r="I14" s="26"/>
      <c r="J14" s="30"/>
      <c r="K14" s="30"/>
      <c r="L14" s="26"/>
      <c r="N14" s="31" t="s">
        <v>258</v>
      </c>
    </row>
    <row r="15" spans="1:14" ht="10.5">
      <c r="A15" s="27">
        <v>9</v>
      </c>
      <c r="B15" s="9" t="s">
        <v>86</v>
      </c>
      <c r="C15" s="31" t="s">
        <v>254</v>
      </c>
      <c r="D15" s="34">
        <v>0</v>
      </c>
      <c r="F15" s="26">
        <f>ROUND(СУММПРОИЗВЕСЛИ(1,Определители!I6:I16," ",'Текущие цены с учетом расхода'!M6:M16,Начисления!I6:I16,0),2)</f>
        <v>0</v>
      </c>
      <c r="G15" s="26"/>
      <c r="H15" s="26"/>
      <c r="I15" s="26"/>
      <c r="J15" s="30"/>
      <c r="K15" s="30"/>
      <c r="L15" s="26"/>
      <c r="N15" s="31" t="s">
        <v>259</v>
      </c>
    </row>
    <row r="16" spans="1:14" ht="10.5">
      <c r="A16" s="27">
        <v>10</v>
      </c>
      <c r="B16" s="9" t="s">
        <v>87</v>
      </c>
      <c r="C16" s="31" t="s">
        <v>260</v>
      </c>
      <c r="D16" s="34">
        <v>0</v>
      </c>
      <c r="F16" s="26">
        <f>ROUND((F15+F26+F46),2)</f>
        <v>0</v>
      </c>
      <c r="G16" s="26"/>
      <c r="H16" s="26"/>
      <c r="I16" s="26"/>
      <c r="J16" s="30"/>
      <c r="K16" s="30"/>
      <c r="L16" s="26"/>
      <c r="N16" s="31" t="s">
        <v>261</v>
      </c>
    </row>
    <row r="17" spans="1:14" ht="10.5">
      <c r="A17" s="27">
        <v>11</v>
      </c>
      <c r="B17" s="9" t="s">
        <v>88</v>
      </c>
      <c r="C17" s="31" t="s">
        <v>260</v>
      </c>
      <c r="D17" s="34">
        <v>0</v>
      </c>
      <c r="F17" s="26">
        <f>ROUND((F8+F9+F10+F11+F12+F13+F14+F16),2)</f>
        <v>0</v>
      </c>
      <c r="G17" s="26"/>
      <c r="H17" s="26"/>
      <c r="I17" s="26"/>
      <c r="J17" s="30"/>
      <c r="K17" s="30"/>
      <c r="L17" s="26"/>
      <c r="N17" s="31" t="s">
        <v>262</v>
      </c>
    </row>
    <row r="18" spans="1:14" ht="10.5">
      <c r="A18" s="27">
        <v>12</v>
      </c>
      <c r="B18" s="9" t="s">
        <v>89</v>
      </c>
      <c r="C18" s="31" t="s">
        <v>254</v>
      </c>
      <c r="D18" s="34">
        <v>0</v>
      </c>
      <c r="F18" s="26">
        <f>ROUND(SUMIF(Определители!I6:I16,"=1",'Текущие цены с учетом расхода'!B6:B16),2)</f>
        <v>0</v>
      </c>
      <c r="G18" s="26">
        <f>ROUND(SUMIF(Определители!I6:I16,"=1",'Текущие цены с учетом расхода'!C6:C16),2)</f>
        <v>0</v>
      </c>
      <c r="H18" s="26">
        <f>ROUND(SUMIF(Определители!I6:I16,"=1",'Текущие цены с учетом расхода'!D6:D16),2)</f>
        <v>0</v>
      </c>
      <c r="I18" s="26">
        <f>ROUND(SUMIF(Определители!I6:I16,"=1",'Текущие цены с учетом расхода'!E6:E16),2)</f>
        <v>0</v>
      </c>
      <c r="J18" s="30">
        <f>ROUND(SUMIF(Определители!I6:I16,"=1",'Текущие цены с учетом расхода'!I6:I16),8)</f>
        <v>0</v>
      </c>
      <c r="K18" s="30">
        <f>ROUND(SUMIF(Определители!I6:I16,"=1",'Текущие цены с учетом расхода'!K6:K16),8)</f>
        <v>0</v>
      </c>
      <c r="L18" s="26">
        <f>ROUND(SUMIF(Определители!I6:I16,"=1",'Текущие цены с учетом расхода'!F6:F16),2)</f>
        <v>0</v>
      </c>
      <c r="N18" s="31" t="s">
        <v>263</v>
      </c>
    </row>
    <row r="19" spans="1:14" ht="10.5">
      <c r="A19" s="27">
        <v>13</v>
      </c>
      <c r="B19" s="9" t="s">
        <v>90</v>
      </c>
      <c r="C19" s="31" t="s">
        <v>254</v>
      </c>
      <c r="D19" s="34">
        <v>0</v>
      </c>
      <c r="F19" s="26"/>
      <c r="G19" s="26"/>
      <c r="H19" s="26"/>
      <c r="I19" s="26"/>
      <c r="J19" s="30"/>
      <c r="K19" s="30"/>
      <c r="L19" s="26"/>
      <c r="N19" s="31" t="s">
        <v>264</v>
      </c>
    </row>
    <row r="20" spans="1:14" ht="10.5">
      <c r="A20" s="27">
        <v>14</v>
      </c>
      <c r="B20" s="9" t="s">
        <v>91</v>
      </c>
      <c r="C20" s="31" t="s">
        <v>254</v>
      </c>
      <c r="D20" s="34">
        <v>0</v>
      </c>
      <c r="F20" s="26"/>
      <c r="G20" s="26">
        <f>ROUND(SUMIF(Определители!I6:I16,"=1",'Текущие цены с учетом расхода'!T6:T16),2)</f>
        <v>0</v>
      </c>
      <c r="H20" s="26"/>
      <c r="I20" s="26"/>
      <c r="J20" s="30"/>
      <c r="K20" s="30"/>
      <c r="L20" s="26"/>
      <c r="N20" s="31" t="s">
        <v>265</v>
      </c>
    </row>
    <row r="21" spans="1:14" ht="10.5">
      <c r="A21" s="27">
        <v>15</v>
      </c>
      <c r="B21" s="9" t="s">
        <v>92</v>
      </c>
      <c r="C21" s="31" t="s">
        <v>254</v>
      </c>
      <c r="D21" s="34">
        <v>0</v>
      </c>
      <c r="F21" s="26">
        <f>ROUND(SUMIF(Определители!I6:I16,"=1",'Текущие цены с учетом расхода'!U6:U16),2)</f>
        <v>0</v>
      </c>
      <c r="G21" s="26"/>
      <c r="H21" s="26"/>
      <c r="I21" s="26"/>
      <c r="J21" s="30"/>
      <c r="K21" s="30"/>
      <c r="L21" s="26"/>
      <c r="N21" s="31" t="s">
        <v>266</v>
      </c>
    </row>
    <row r="22" spans="1:14" ht="10.5">
      <c r="A22" s="27">
        <v>16</v>
      </c>
      <c r="B22" s="9" t="s">
        <v>93</v>
      </c>
      <c r="C22" s="31" t="s">
        <v>254</v>
      </c>
      <c r="D22" s="34">
        <v>0</v>
      </c>
      <c r="F22" s="26">
        <f>ROUND(СУММЕСЛИ2(Определители!I6:I16,"1",Определители!G6:G16,"1",'Текущие цены с учетом расхода'!B6:B16),2)</f>
        <v>0</v>
      </c>
      <c r="G22" s="26"/>
      <c r="H22" s="26"/>
      <c r="I22" s="26"/>
      <c r="J22" s="30"/>
      <c r="K22" s="30"/>
      <c r="L22" s="26"/>
      <c r="N22" s="31" t="s">
        <v>267</v>
      </c>
    </row>
    <row r="23" spans="1:14" ht="10.5">
      <c r="A23" s="27">
        <v>17</v>
      </c>
      <c r="B23" s="9" t="s">
        <v>94</v>
      </c>
      <c r="C23" s="31" t="s">
        <v>254</v>
      </c>
      <c r="D23" s="34">
        <v>0</v>
      </c>
      <c r="F23" s="26">
        <f>ROUND(SUMIF(Определители!I6:I16,"=1",'Текущие цены с учетом расхода'!H6:H16),2)</f>
        <v>0</v>
      </c>
      <c r="G23" s="26"/>
      <c r="H23" s="26"/>
      <c r="I23" s="26"/>
      <c r="J23" s="30"/>
      <c r="K23" s="30"/>
      <c r="L23" s="26"/>
      <c r="N23" s="31" t="s">
        <v>268</v>
      </c>
    </row>
    <row r="24" spans="1:14" ht="10.5">
      <c r="A24" s="27">
        <v>18</v>
      </c>
      <c r="B24" s="9" t="s">
        <v>95</v>
      </c>
      <c r="C24" s="31" t="s">
        <v>254</v>
      </c>
      <c r="D24" s="34">
        <v>0</v>
      </c>
      <c r="F24" s="26">
        <f>ROUND(SUMIF(Определители!I6:I16,"=1",'Текущие цены с учетом расхода'!N6:N16),2)</f>
        <v>0</v>
      </c>
      <c r="G24" s="26"/>
      <c r="H24" s="26"/>
      <c r="I24" s="26"/>
      <c r="J24" s="30"/>
      <c r="K24" s="30"/>
      <c r="L24" s="26"/>
      <c r="N24" s="31" t="s">
        <v>269</v>
      </c>
    </row>
    <row r="25" spans="1:14" ht="10.5">
      <c r="A25" s="27">
        <v>19</v>
      </c>
      <c r="B25" s="9" t="s">
        <v>96</v>
      </c>
      <c r="C25" s="31" t="s">
        <v>254</v>
      </c>
      <c r="D25" s="34">
        <v>0</v>
      </c>
      <c r="F25" s="26">
        <f>ROUND(SUMIF(Определители!I6:I16,"=1",'Текущие цены с учетом расхода'!O6:O16),2)</f>
        <v>0</v>
      </c>
      <c r="G25" s="26"/>
      <c r="H25" s="26"/>
      <c r="I25" s="26"/>
      <c r="J25" s="30"/>
      <c r="K25" s="30"/>
      <c r="L25" s="26"/>
      <c r="N25" s="31" t="s">
        <v>270</v>
      </c>
    </row>
    <row r="26" spans="1:14" ht="10.5">
      <c r="A26" s="27">
        <v>20</v>
      </c>
      <c r="B26" s="9" t="s">
        <v>87</v>
      </c>
      <c r="C26" s="31" t="s">
        <v>254</v>
      </c>
      <c r="D26" s="34">
        <v>0</v>
      </c>
      <c r="F26" s="26">
        <f>ROUND(СУММПРОИЗВЕСЛИ(1,Определители!I6:I16," ",'Текущие цены с учетом расхода'!M6:M16,Начисления!I6:I16,0),2)</f>
        <v>0</v>
      </c>
      <c r="G26" s="26"/>
      <c r="H26" s="26"/>
      <c r="I26" s="26"/>
      <c r="J26" s="30"/>
      <c r="K26" s="30"/>
      <c r="L26" s="26"/>
      <c r="N26" s="31" t="s">
        <v>271</v>
      </c>
    </row>
    <row r="27" spans="1:14" ht="10.5">
      <c r="A27" s="27">
        <v>21</v>
      </c>
      <c r="B27" s="9" t="s">
        <v>97</v>
      </c>
      <c r="C27" s="31" t="s">
        <v>260</v>
      </c>
      <c r="D27" s="34">
        <v>0</v>
      </c>
      <c r="F27" s="26">
        <f>ROUND((F18+F24+F25),2)</f>
        <v>0</v>
      </c>
      <c r="G27" s="26"/>
      <c r="H27" s="26"/>
      <c r="I27" s="26"/>
      <c r="J27" s="30"/>
      <c r="K27" s="30"/>
      <c r="L27" s="26"/>
      <c r="N27" s="31" t="s">
        <v>272</v>
      </c>
    </row>
    <row r="28" spans="1:14" ht="10.5">
      <c r="A28" s="27">
        <v>22</v>
      </c>
      <c r="B28" s="9" t="s">
        <v>98</v>
      </c>
      <c r="C28" s="31" t="s">
        <v>254</v>
      </c>
      <c r="D28" s="34">
        <v>0</v>
      </c>
      <c r="F28" s="26">
        <f>ROUND(SUMIF(Определители!I6:I16,"=2",'Текущие цены с учетом расхода'!B6:B16),2)</f>
        <v>21216.76</v>
      </c>
      <c r="G28" s="26">
        <f>ROUND(SUMIF(Определители!I6:I16,"=2",'Текущие цены с учетом расхода'!C6:C16),2)</f>
        <v>659.69</v>
      </c>
      <c r="H28" s="26">
        <f>ROUND(SUMIF(Определители!I6:I16,"=2",'Текущие цены с учетом расхода'!D6:D16),2)</f>
        <v>1444.83</v>
      </c>
      <c r="I28" s="26">
        <f>ROUND(SUMIF(Определители!I6:I16,"=2",'Текущие цены с учетом расхода'!E6:E16),2)</f>
        <v>289.66</v>
      </c>
      <c r="J28" s="30">
        <f>ROUND(SUMIF(Определители!I6:I16,"=2",'Текущие цены с учетом расхода'!I6:I16),8)</f>
        <v>2.820852</v>
      </c>
      <c r="K28" s="30">
        <f>ROUND(SUMIF(Определители!I6:I16,"=2",'Текущие цены с учетом расхода'!K6:K16),8)</f>
        <v>1.012008</v>
      </c>
      <c r="L28" s="26">
        <f>ROUND(SUMIF(Определители!I6:I16,"=2",'Текущие цены с учетом расхода'!F6:F16),2)</f>
        <v>19112.24</v>
      </c>
      <c r="N28" s="31" t="s">
        <v>273</v>
      </c>
    </row>
    <row r="29" spans="1:14" ht="10.5">
      <c r="A29" s="27">
        <v>23</v>
      </c>
      <c r="B29" s="9" t="s">
        <v>90</v>
      </c>
      <c r="C29" s="31" t="s">
        <v>254</v>
      </c>
      <c r="D29" s="34">
        <v>0</v>
      </c>
      <c r="F29" s="26"/>
      <c r="G29" s="26"/>
      <c r="H29" s="26"/>
      <c r="I29" s="26"/>
      <c r="J29" s="30"/>
      <c r="K29" s="30"/>
      <c r="L29" s="26"/>
      <c r="N29" s="31" t="s">
        <v>274</v>
      </c>
    </row>
    <row r="30" spans="1:14" ht="10.5">
      <c r="A30" s="27">
        <v>24</v>
      </c>
      <c r="B30" s="9" t="s">
        <v>99</v>
      </c>
      <c r="C30" s="31" t="s">
        <v>254</v>
      </c>
      <c r="D30" s="34">
        <v>0</v>
      </c>
      <c r="F30" s="26">
        <f>ROUND(СУММЕСЛИ2(Определители!I6:I16,"2",Определители!G6:G16,"1",'Текущие цены с учетом расхода'!B6:B16),2)</f>
        <v>2109.14</v>
      </c>
      <c r="G30" s="26"/>
      <c r="H30" s="26"/>
      <c r="I30" s="26"/>
      <c r="J30" s="30"/>
      <c r="K30" s="30"/>
      <c r="L30" s="26"/>
      <c r="N30" s="31" t="s">
        <v>275</v>
      </c>
    </row>
    <row r="31" spans="1:14" ht="10.5">
      <c r="A31" s="27">
        <v>25</v>
      </c>
      <c r="B31" s="9" t="s">
        <v>94</v>
      </c>
      <c r="C31" s="31" t="s">
        <v>254</v>
      </c>
      <c r="D31" s="34">
        <v>0</v>
      </c>
      <c r="F31" s="26">
        <f>ROUND(SUMIF(Определители!I6:I16,"=2",'Текущие цены с учетом расхода'!H6:H16),2)</f>
        <v>0</v>
      </c>
      <c r="G31" s="26"/>
      <c r="H31" s="26"/>
      <c r="I31" s="26"/>
      <c r="J31" s="30"/>
      <c r="K31" s="30"/>
      <c r="L31" s="26"/>
      <c r="N31" s="31" t="s">
        <v>276</v>
      </c>
    </row>
    <row r="32" spans="1:14" ht="10.5">
      <c r="A32" s="27">
        <v>26</v>
      </c>
      <c r="B32" s="9" t="s">
        <v>95</v>
      </c>
      <c r="C32" s="31" t="s">
        <v>254</v>
      </c>
      <c r="D32" s="34">
        <v>0</v>
      </c>
      <c r="F32" s="26">
        <f>ROUND(SUMIF(Определители!I6:I16,"=2",'Текущие цены с учетом расхода'!N6:N16),2)</f>
        <v>1007.68</v>
      </c>
      <c r="G32" s="26"/>
      <c r="H32" s="26"/>
      <c r="I32" s="26"/>
      <c r="J32" s="30"/>
      <c r="K32" s="30"/>
      <c r="L32" s="26"/>
      <c r="N32" s="31" t="s">
        <v>277</v>
      </c>
    </row>
    <row r="33" spans="1:14" ht="10.5">
      <c r="A33" s="27">
        <v>27</v>
      </c>
      <c r="B33" s="9" t="s">
        <v>96</v>
      </c>
      <c r="C33" s="31" t="s">
        <v>254</v>
      </c>
      <c r="D33" s="34">
        <v>0</v>
      </c>
      <c r="F33" s="26">
        <f>ROUND(SUMIF(Определители!I6:I16,"=2",'Текущие цены с учетом расхода'!O6:O16),2)</f>
        <v>593.2</v>
      </c>
      <c r="G33" s="26"/>
      <c r="H33" s="26"/>
      <c r="I33" s="26"/>
      <c r="J33" s="30"/>
      <c r="K33" s="30"/>
      <c r="L33" s="26"/>
      <c r="N33" s="31" t="s">
        <v>278</v>
      </c>
    </row>
    <row r="34" spans="1:14" ht="10.5">
      <c r="A34" s="27">
        <v>28</v>
      </c>
      <c r="B34" s="9" t="s">
        <v>102</v>
      </c>
      <c r="C34" s="31" t="s">
        <v>260</v>
      </c>
      <c r="D34" s="34">
        <v>0</v>
      </c>
      <c r="F34" s="26">
        <f>ROUND((F28+F32+F33),2)</f>
        <v>22817.64</v>
      </c>
      <c r="G34" s="26"/>
      <c r="H34" s="26"/>
      <c r="I34" s="26"/>
      <c r="J34" s="30"/>
      <c r="K34" s="30"/>
      <c r="L34" s="26"/>
      <c r="N34" s="31" t="s">
        <v>279</v>
      </c>
    </row>
    <row r="35" spans="1:14" ht="10.5">
      <c r="A35" s="27">
        <v>29</v>
      </c>
      <c r="B35" s="9" t="s">
        <v>103</v>
      </c>
      <c r="C35" s="31" t="s">
        <v>254</v>
      </c>
      <c r="D35" s="34">
        <v>0</v>
      </c>
      <c r="F35" s="26">
        <f>ROUND(SUMIF(Определители!I6:I16,"=3",'Текущие цены с учетом расхода'!B6:B16),2)</f>
        <v>7127.45</v>
      </c>
      <c r="G35" s="26">
        <f>ROUND(SUMIF(Определители!I6:I16,"=3",'Текущие цены с учетом расхода'!C6:C16),2)</f>
        <v>3225.62</v>
      </c>
      <c r="H35" s="26">
        <f>ROUND(SUMIF(Определители!I6:I16,"=3",'Текущие цены с учетом расхода'!D6:D16),2)</f>
        <v>3486.34</v>
      </c>
      <c r="I35" s="26">
        <f>ROUND(SUMIF(Определители!I6:I16,"=3",'Текущие цены с учетом расхода'!E6:E16),2)</f>
        <v>522.04</v>
      </c>
      <c r="J35" s="30">
        <f>ROUND(SUMIF(Определители!I6:I16,"=3",'Текущие цены с учетом расхода'!I6:I16),8)</f>
        <v>13.653518</v>
      </c>
      <c r="K35" s="30">
        <f>ROUND(SUMIF(Определители!I6:I16,"=3",'Текущие цены с учетом расхода'!K6:K16),8)</f>
        <v>1.823917</v>
      </c>
      <c r="L35" s="26">
        <f>ROUND(SUMIF(Определители!I6:I16,"=3",'Текущие цены с учетом расхода'!F6:F16),2)</f>
        <v>415.49</v>
      </c>
      <c r="N35" s="31" t="s">
        <v>280</v>
      </c>
    </row>
    <row r="36" spans="1:14" ht="10.5">
      <c r="A36" s="27">
        <v>30</v>
      </c>
      <c r="B36" s="9" t="s">
        <v>94</v>
      </c>
      <c r="C36" s="31" t="s">
        <v>254</v>
      </c>
      <c r="D36" s="34">
        <v>0</v>
      </c>
      <c r="F36" s="26">
        <f>ROUND(SUMIF(Определители!I6:I16,"=3",'Текущие цены с учетом расхода'!H6:H16),2)</f>
        <v>0</v>
      </c>
      <c r="G36" s="26"/>
      <c r="H36" s="26"/>
      <c r="I36" s="26"/>
      <c r="J36" s="30"/>
      <c r="K36" s="30"/>
      <c r="L36" s="26"/>
      <c r="N36" s="31" t="s">
        <v>281</v>
      </c>
    </row>
    <row r="37" spans="1:14" ht="10.5">
      <c r="A37" s="27">
        <v>31</v>
      </c>
      <c r="B37" s="9" t="s">
        <v>95</v>
      </c>
      <c r="C37" s="31" t="s">
        <v>254</v>
      </c>
      <c r="D37" s="34">
        <v>0</v>
      </c>
      <c r="F37" s="26">
        <f>ROUND(SUMIF(Определители!I6:I16,"=3",'Текущие цены с учетом расхода'!N6:N16),2)</f>
        <v>2580.26</v>
      </c>
      <c r="G37" s="26"/>
      <c r="H37" s="26"/>
      <c r="I37" s="26"/>
      <c r="J37" s="30"/>
      <c r="K37" s="30"/>
      <c r="L37" s="26"/>
      <c r="N37" s="31" t="s">
        <v>282</v>
      </c>
    </row>
    <row r="38" spans="1:14" ht="10.5">
      <c r="A38" s="27">
        <v>32</v>
      </c>
      <c r="B38" s="9" t="s">
        <v>96</v>
      </c>
      <c r="C38" s="31" t="s">
        <v>254</v>
      </c>
      <c r="D38" s="34">
        <v>0</v>
      </c>
      <c r="F38" s="26">
        <f>ROUND(SUMIF(Определители!I6:I16,"=3",'Текущие цены с учетом расхода'!O6:O16),2)</f>
        <v>2166.14</v>
      </c>
      <c r="G38" s="26"/>
      <c r="H38" s="26"/>
      <c r="I38" s="26"/>
      <c r="J38" s="30"/>
      <c r="K38" s="30"/>
      <c r="L38" s="26"/>
      <c r="N38" s="31" t="s">
        <v>283</v>
      </c>
    </row>
    <row r="39" spans="1:14" ht="10.5">
      <c r="A39" s="27">
        <v>33</v>
      </c>
      <c r="B39" s="9" t="s">
        <v>106</v>
      </c>
      <c r="C39" s="31" t="s">
        <v>260</v>
      </c>
      <c r="D39" s="34">
        <v>0</v>
      </c>
      <c r="F39" s="26">
        <f>ROUND((F35+F37+F38),2)</f>
        <v>11873.85</v>
      </c>
      <c r="G39" s="26"/>
      <c r="H39" s="26"/>
      <c r="I39" s="26"/>
      <c r="J39" s="30"/>
      <c r="K39" s="30"/>
      <c r="L39" s="26"/>
      <c r="N39" s="31" t="s">
        <v>284</v>
      </c>
    </row>
    <row r="40" spans="1:14" ht="10.5">
      <c r="A40" s="27">
        <v>34</v>
      </c>
      <c r="B40" s="9" t="s">
        <v>107</v>
      </c>
      <c r="C40" s="31" t="s">
        <v>254</v>
      </c>
      <c r="D40" s="34">
        <v>0</v>
      </c>
      <c r="F40" s="26">
        <f>ROUND(SUMIF(Определители!I6:I16,"=4",'Текущие цены с учетом расхода'!B6:B16),2)</f>
        <v>4440.75</v>
      </c>
      <c r="G40" s="26">
        <f>ROUND(SUMIF(Определители!I6:I16,"=4",'Текущие цены с учетом расхода'!C6:C16),2)</f>
        <v>0</v>
      </c>
      <c r="H40" s="26">
        <f>ROUND(SUMIF(Определители!I6:I16,"=4",'Текущие цены с учетом расхода'!D6:D16),2)</f>
        <v>0</v>
      </c>
      <c r="I40" s="26">
        <f>ROUND(SUMIF(Определители!I6:I16,"=4",'Текущие цены с учетом расхода'!E6:E16),2)</f>
        <v>0</v>
      </c>
      <c r="J40" s="30">
        <f>ROUND(SUMIF(Определители!I6:I16,"=4",'Текущие цены с учетом расхода'!I6:I16),8)</f>
        <v>0</v>
      </c>
      <c r="K40" s="30">
        <f>ROUND(SUMIF(Определители!I6:I16,"=4",'Текущие цены с учетом расхода'!K6:K16),8)</f>
        <v>0</v>
      </c>
      <c r="L40" s="26">
        <f>ROUND(SUMIF(Определители!I6:I16,"=4",'Текущие цены с учетом расхода'!F6:F16),2)</f>
        <v>4440.75</v>
      </c>
      <c r="N40" s="31" t="s">
        <v>285</v>
      </c>
    </row>
    <row r="41" spans="1:14" ht="10.5">
      <c r="A41" s="27">
        <v>35</v>
      </c>
      <c r="B41" s="9" t="s">
        <v>90</v>
      </c>
      <c r="C41" s="31" t="s">
        <v>254</v>
      </c>
      <c r="D41" s="34">
        <v>0</v>
      </c>
      <c r="F41" s="26"/>
      <c r="G41" s="26"/>
      <c r="H41" s="26"/>
      <c r="I41" s="26"/>
      <c r="J41" s="30"/>
      <c r="K41" s="30"/>
      <c r="L41" s="26"/>
      <c r="N41" s="31" t="s">
        <v>286</v>
      </c>
    </row>
    <row r="42" spans="1:14" ht="10.5">
      <c r="A42" s="27">
        <v>36</v>
      </c>
      <c r="B42" s="9" t="s">
        <v>108</v>
      </c>
      <c r="C42" s="31" t="s">
        <v>254</v>
      </c>
      <c r="D42" s="34">
        <v>0</v>
      </c>
      <c r="F42" s="26">
        <f>ROUND(SUMIF(Определители!I6:I16,"=4",'Текущие цены с учетом расхода'!AJ6:AJ16),2)</f>
        <v>0</v>
      </c>
      <c r="G42" s="26">
        <f>ROUND(SUMIF(Определители!I6:I16,"=4",'Текущие цены с учетом расхода'!AI6:AI16),2)</f>
        <v>0</v>
      </c>
      <c r="H42" s="26">
        <f>ROUND(SUMIF(Определители!I6:I16,"=4",'Текущие цены с учетом расхода'!AH6:AH16),2)</f>
        <v>0</v>
      </c>
      <c r="I42" s="26">
        <f>ROUND(SUMIF(Определители!I6:I16,"=4",'Текущие цены с учетом расхода'!V6:V16),2)</f>
        <v>0</v>
      </c>
      <c r="J42" s="30"/>
      <c r="K42" s="30"/>
      <c r="L42" s="26"/>
      <c r="N42" s="31" t="s">
        <v>287</v>
      </c>
    </row>
    <row r="43" spans="1:14" ht="10.5">
      <c r="A43" s="27">
        <v>37</v>
      </c>
      <c r="B43" s="9" t="s">
        <v>94</v>
      </c>
      <c r="C43" s="31" t="s">
        <v>254</v>
      </c>
      <c r="D43" s="34">
        <v>0</v>
      </c>
      <c r="F43" s="26">
        <f>ROUND(SUMIF(Определители!I6:I16,"=4",'Текущие цены с учетом расхода'!H6:H16),2)</f>
        <v>0</v>
      </c>
      <c r="G43" s="26"/>
      <c r="H43" s="26"/>
      <c r="I43" s="26"/>
      <c r="J43" s="30"/>
      <c r="K43" s="30"/>
      <c r="L43" s="26"/>
      <c r="N43" s="31" t="s">
        <v>288</v>
      </c>
    </row>
    <row r="44" spans="1:14" ht="10.5">
      <c r="A44" s="27">
        <v>38</v>
      </c>
      <c r="B44" s="9" t="s">
        <v>95</v>
      </c>
      <c r="C44" s="31" t="s">
        <v>254</v>
      </c>
      <c r="D44" s="34">
        <v>0</v>
      </c>
      <c r="F44" s="26">
        <f>ROUND(SUMIF(Определители!I6:I16,"=4",'Текущие цены с учетом расхода'!N6:N16),2)</f>
        <v>0</v>
      </c>
      <c r="G44" s="26"/>
      <c r="H44" s="26"/>
      <c r="I44" s="26"/>
      <c r="J44" s="30"/>
      <c r="K44" s="30"/>
      <c r="L44" s="26"/>
      <c r="N44" s="31" t="s">
        <v>289</v>
      </c>
    </row>
    <row r="45" spans="1:14" ht="10.5">
      <c r="A45" s="27">
        <v>39</v>
      </c>
      <c r="B45" s="9" t="s">
        <v>96</v>
      </c>
      <c r="C45" s="31" t="s">
        <v>254</v>
      </c>
      <c r="D45" s="34">
        <v>0</v>
      </c>
      <c r="F45" s="26">
        <f>ROUND(SUMIF(Определители!I6:I16,"=4",'Текущие цены с учетом расхода'!O6:O16),2)</f>
        <v>0</v>
      </c>
      <c r="G45" s="26"/>
      <c r="H45" s="26"/>
      <c r="I45" s="26"/>
      <c r="J45" s="30"/>
      <c r="K45" s="30"/>
      <c r="L45" s="26"/>
      <c r="N45" s="31" t="s">
        <v>290</v>
      </c>
    </row>
    <row r="46" spans="1:14" ht="10.5">
      <c r="A46" s="27">
        <v>40</v>
      </c>
      <c r="B46" s="9" t="s">
        <v>87</v>
      </c>
      <c r="C46" s="31" t="s">
        <v>254</v>
      </c>
      <c r="D46" s="34">
        <v>0</v>
      </c>
      <c r="F46" s="26">
        <f>ROUND(СУММПРОИЗВЕСЛИ(1,Определители!I6:I16," ",'Текущие цены с учетом расхода'!M6:M16,Начисления!I6:I16,0),2)</f>
        <v>0</v>
      </c>
      <c r="G46" s="26"/>
      <c r="H46" s="26"/>
      <c r="I46" s="26"/>
      <c r="J46" s="30"/>
      <c r="K46" s="30"/>
      <c r="L46" s="26"/>
      <c r="N46" s="31" t="s">
        <v>291</v>
      </c>
    </row>
    <row r="47" spans="1:14" ht="10.5">
      <c r="A47" s="27">
        <v>41</v>
      </c>
      <c r="B47" s="9" t="s">
        <v>109</v>
      </c>
      <c r="C47" s="31" t="s">
        <v>260</v>
      </c>
      <c r="D47" s="34">
        <v>0</v>
      </c>
      <c r="F47" s="26">
        <f>ROUND((F40+F44+F45),2)</f>
        <v>4440.75</v>
      </c>
      <c r="G47" s="26"/>
      <c r="H47" s="26"/>
      <c r="I47" s="26"/>
      <c r="J47" s="30"/>
      <c r="K47" s="30"/>
      <c r="L47" s="26"/>
      <c r="N47" s="31" t="s">
        <v>292</v>
      </c>
    </row>
    <row r="48" spans="1:14" ht="10.5">
      <c r="A48" s="27">
        <v>42</v>
      </c>
      <c r="B48" s="9" t="s">
        <v>110</v>
      </c>
      <c r="C48" s="31" t="s">
        <v>254</v>
      </c>
      <c r="D48" s="34">
        <v>0</v>
      </c>
      <c r="F48" s="26">
        <f>ROUND(SUMIF(Определители!I6:I16,"=5",'Текущие цены с учетом расхода'!B6:B16),2)</f>
        <v>0</v>
      </c>
      <c r="G48" s="26">
        <f>ROUND(SUMIF(Определители!I6:I16,"=5",'Текущие цены с учетом расхода'!C6:C16),2)</f>
        <v>0</v>
      </c>
      <c r="H48" s="26">
        <f>ROUND(SUMIF(Определители!I6:I16,"=5",'Текущие цены с учетом расхода'!D6:D16),2)</f>
        <v>0</v>
      </c>
      <c r="I48" s="26">
        <f>ROUND(SUMIF(Определители!I6:I16,"=5",'Текущие цены с учетом расхода'!E6:E16),2)</f>
        <v>0</v>
      </c>
      <c r="J48" s="30">
        <f>ROUND(SUMIF(Определители!I6:I16,"=5",'Текущие цены с учетом расхода'!I6:I16),8)</f>
        <v>0</v>
      </c>
      <c r="K48" s="30">
        <f>ROUND(SUMIF(Определители!I6:I16,"=5",'Текущие цены с учетом расхода'!K6:K16),8)</f>
        <v>0</v>
      </c>
      <c r="L48" s="26">
        <f>ROUND(SUMIF(Определители!I6:I16,"=5",'Текущие цены с учетом расхода'!F6:F16),2)</f>
        <v>0</v>
      </c>
      <c r="N48" s="31" t="s">
        <v>293</v>
      </c>
    </row>
    <row r="49" spans="1:14" ht="10.5">
      <c r="A49" s="27">
        <v>43</v>
      </c>
      <c r="B49" s="9" t="s">
        <v>94</v>
      </c>
      <c r="C49" s="31" t="s">
        <v>254</v>
      </c>
      <c r="D49" s="34">
        <v>0</v>
      </c>
      <c r="F49" s="26">
        <f>ROUND(SUMIF(Определители!I6:I16,"=5",'Текущие цены с учетом расхода'!H6:H16),2)</f>
        <v>0</v>
      </c>
      <c r="G49" s="26"/>
      <c r="H49" s="26"/>
      <c r="I49" s="26"/>
      <c r="J49" s="30"/>
      <c r="K49" s="30"/>
      <c r="L49" s="26"/>
      <c r="N49" s="31" t="s">
        <v>294</v>
      </c>
    </row>
    <row r="50" spans="1:14" ht="10.5">
      <c r="A50" s="27">
        <v>44</v>
      </c>
      <c r="B50" s="9" t="s">
        <v>95</v>
      </c>
      <c r="C50" s="31" t="s">
        <v>254</v>
      </c>
      <c r="D50" s="34">
        <v>0</v>
      </c>
      <c r="F50" s="26">
        <f>ROUND(SUMIF(Определители!I6:I16,"=5",'Текущие цены с учетом расхода'!N6:N16),2)</f>
        <v>0</v>
      </c>
      <c r="G50" s="26"/>
      <c r="H50" s="26"/>
      <c r="I50" s="26"/>
      <c r="J50" s="30"/>
      <c r="K50" s="30"/>
      <c r="L50" s="26"/>
      <c r="N50" s="31" t="s">
        <v>295</v>
      </c>
    </row>
    <row r="51" spans="1:14" ht="10.5">
      <c r="A51" s="27">
        <v>45</v>
      </c>
      <c r="B51" s="9" t="s">
        <v>96</v>
      </c>
      <c r="C51" s="31" t="s">
        <v>254</v>
      </c>
      <c r="D51" s="34">
        <v>0</v>
      </c>
      <c r="F51" s="26">
        <f>ROUND(SUMIF(Определители!I6:I16,"=5",'Текущие цены с учетом расхода'!O6:O16),2)</f>
        <v>0</v>
      </c>
      <c r="G51" s="26"/>
      <c r="H51" s="26"/>
      <c r="I51" s="26"/>
      <c r="J51" s="30"/>
      <c r="K51" s="30"/>
      <c r="L51" s="26"/>
      <c r="N51" s="31" t="s">
        <v>296</v>
      </c>
    </row>
    <row r="52" spans="1:14" ht="10.5">
      <c r="A52" s="27">
        <v>46</v>
      </c>
      <c r="B52" s="9" t="s">
        <v>111</v>
      </c>
      <c r="C52" s="31" t="s">
        <v>260</v>
      </c>
      <c r="D52" s="34">
        <v>0</v>
      </c>
      <c r="F52" s="26">
        <f>ROUND((F48+F50+F51),2)</f>
        <v>0</v>
      </c>
      <c r="G52" s="26"/>
      <c r="H52" s="26"/>
      <c r="I52" s="26"/>
      <c r="J52" s="30"/>
      <c r="K52" s="30"/>
      <c r="L52" s="26"/>
      <c r="N52" s="31" t="s">
        <v>297</v>
      </c>
    </row>
    <row r="53" spans="1:14" ht="10.5">
      <c r="A53" s="27">
        <v>47</v>
      </c>
      <c r="B53" s="9" t="s">
        <v>112</v>
      </c>
      <c r="C53" s="31" t="s">
        <v>254</v>
      </c>
      <c r="D53" s="34">
        <v>0</v>
      </c>
      <c r="F53" s="26">
        <f>ROUND(SUMIF(Определители!I6:I16,"=6",'Текущие цены с учетом расхода'!B6:B16),2)</f>
        <v>0</v>
      </c>
      <c r="G53" s="26">
        <f>ROUND(SUMIF(Определители!I6:I16,"=6",'Текущие цены с учетом расхода'!C6:C16),2)</f>
        <v>0</v>
      </c>
      <c r="H53" s="26">
        <f>ROUND(SUMIF(Определители!I6:I16,"=6",'Текущие цены с учетом расхода'!D6:D16),2)</f>
        <v>0</v>
      </c>
      <c r="I53" s="26">
        <f>ROUND(SUMIF(Определители!I6:I16,"=6",'Текущие цены с учетом расхода'!E6:E16),2)</f>
        <v>0</v>
      </c>
      <c r="J53" s="30">
        <f>ROUND(SUMIF(Определители!I6:I16,"=6",'Текущие цены с учетом расхода'!I6:I16),8)</f>
        <v>0</v>
      </c>
      <c r="K53" s="30">
        <f>ROUND(SUMIF(Определители!I6:I16,"=6",'Текущие цены с учетом расхода'!K6:K16),8)</f>
        <v>0</v>
      </c>
      <c r="L53" s="26">
        <f>ROUND(SUMIF(Определители!I6:I16,"=6",'Текущие цены с учетом расхода'!F6:F16),2)</f>
        <v>0</v>
      </c>
      <c r="N53" s="31" t="s">
        <v>298</v>
      </c>
    </row>
    <row r="54" spans="1:14" ht="10.5">
      <c r="A54" s="27">
        <v>48</v>
      </c>
      <c r="B54" s="9" t="s">
        <v>94</v>
      </c>
      <c r="C54" s="31" t="s">
        <v>254</v>
      </c>
      <c r="D54" s="34">
        <v>0</v>
      </c>
      <c r="F54" s="26">
        <f>ROUND(SUMIF(Определители!I6:I16,"=6",'Текущие цены с учетом расхода'!H6:H16),2)</f>
        <v>0</v>
      </c>
      <c r="G54" s="26"/>
      <c r="H54" s="26"/>
      <c r="I54" s="26"/>
      <c r="J54" s="30"/>
      <c r="K54" s="30"/>
      <c r="L54" s="26"/>
      <c r="N54" s="31" t="s">
        <v>299</v>
      </c>
    </row>
    <row r="55" spans="1:14" ht="10.5">
      <c r="A55" s="27">
        <v>49</v>
      </c>
      <c r="B55" s="9" t="s">
        <v>95</v>
      </c>
      <c r="C55" s="31" t="s">
        <v>254</v>
      </c>
      <c r="D55" s="34">
        <v>0</v>
      </c>
      <c r="F55" s="26">
        <f>ROUND(SUMIF(Определители!I6:I16,"=6",'Текущие цены с учетом расхода'!N6:N16),2)</f>
        <v>0</v>
      </c>
      <c r="G55" s="26"/>
      <c r="H55" s="26"/>
      <c r="I55" s="26"/>
      <c r="J55" s="30"/>
      <c r="K55" s="30"/>
      <c r="L55" s="26"/>
      <c r="N55" s="31" t="s">
        <v>300</v>
      </c>
    </row>
    <row r="56" spans="1:14" ht="10.5">
      <c r="A56" s="27">
        <v>50</v>
      </c>
      <c r="B56" s="9" t="s">
        <v>96</v>
      </c>
      <c r="C56" s="31" t="s">
        <v>254</v>
      </c>
      <c r="D56" s="34">
        <v>0</v>
      </c>
      <c r="F56" s="26">
        <f>ROUND(SUMIF(Определители!I6:I16,"=6",'Текущие цены с учетом расхода'!O6:O16),2)</f>
        <v>0</v>
      </c>
      <c r="G56" s="26"/>
      <c r="H56" s="26"/>
      <c r="I56" s="26"/>
      <c r="J56" s="30"/>
      <c r="K56" s="30"/>
      <c r="L56" s="26"/>
      <c r="N56" s="31" t="s">
        <v>301</v>
      </c>
    </row>
    <row r="57" spans="1:14" ht="10.5">
      <c r="A57" s="27">
        <v>51</v>
      </c>
      <c r="B57" s="9" t="s">
        <v>113</v>
      </c>
      <c r="C57" s="31" t="s">
        <v>260</v>
      </c>
      <c r="D57" s="34">
        <v>0</v>
      </c>
      <c r="F57" s="26">
        <f>ROUND((F53+F55+F56),2)</f>
        <v>0</v>
      </c>
      <c r="G57" s="26"/>
      <c r="H57" s="26"/>
      <c r="I57" s="26"/>
      <c r="J57" s="30"/>
      <c r="K57" s="30"/>
      <c r="L57" s="26"/>
      <c r="N57" s="31" t="s">
        <v>302</v>
      </c>
    </row>
    <row r="58" spans="1:14" ht="10.5">
      <c r="A58" s="27">
        <v>52</v>
      </c>
      <c r="B58" s="9" t="s">
        <v>114</v>
      </c>
      <c r="C58" s="31" t="s">
        <v>254</v>
      </c>
      <c r="D58" s="34">
        <v>0</v>
      </c>
      <c r="F58" s="26">
        <f>ROUND(SUMIF(Определители!I6:I16,"=7",'Текущие цены с учетом расхода'!B6:B16),2)</f>
        <v>0</v>
      </c>
      <c r="G58" s="26">
        <f>ROUND(SUMIF(Определители!I6:I16,"=7",'Текущие цены с учетом расхода'!C6:C16),2)</f>
        <v>0</v>
      </c>
      <c r="H58" s="26">
        <f>ROUND(SUMIF(Определители!I6:I16,"=7",'Текущие цены с учетом расхода'!D6:D16),2)</f>
        <v>0</v>
      </c>
      <c r="I58" s="26">
        <f>ROUND(SUMIF(Определители!I6:I16,"=7",'Текущие цены с учетом расхода'!E6:E16),2)</f>
        <v>0</v>
      </c>
      <c r="J58" s="30">
        <f>ROUND(SUMIF(Определители!I6:I16,"=7",'Текущие цены с учетом расхода'!I6:I16),8)</f>
        <v>0</v>
      </c>
      <c r="K58" s="30">
        <f>ROUND(SUMIF(Определители!I6:I16,"=7",'Текущие цены с учетом расхода'!K6:K16),8)</f>
        <v>0</v>
      </c>
      <c r="L58" s="26">
        <f>ROUND(SUMIF(Определители!I6:I16,"=7",'Текущие цены с учетом расхода'!F6:F16),2)</f>
        <v>0</v>
      </c>
      <c r="N58" s="31" t="s">
        <v>303</v>
      </c>
    </row>
    <row r="59" spans="1:14" ht="10.5">
      <c r="A59" s="27">
        <v>53</v>
      </c>
      <c r="B59" s="9" t="s">
        <v>90</v>
      </c>
      <c r="C59" s="31" t="s">
        <v>254</v>
      </c>
      <c r="D59" s="34">
        <v>0</v>
      </c>
      <c r="F59" s="26"/>
      <c r="G59" s="26"/>
      <c r="H59" s="26"/>
      <c r="I59" s="26"/>
      <c r="J59" s="30"/>
      <c r="K59" s="30"/>
      <c r="L59" s="26"/>
      <c r="N59" s="31" t="s">
        <v>304</v>
      </c>
    </row>
    <row r="60" spans="1:14" ht="10.5">
      <c r="A60" s="27">
        <v>54</v>
      </c>
      <c r="B60" s="9" t="s">
        <v>99</v>
      </c>
      <c r="C60" s="31" t="s">
        <v>254</v>
      </c>
      <c r="D60" s="34">
        <v>0</v>
      </c>
      <c r="F60" s="26">
        <f>ROUND(СУММЕСЛИ2(Определители!I6:I16,"2",Определители!G6:G16,"1",'Текущие цены с учетом расхода'!B6:B16),2)</f>
        <v>2109.14</v>
      </c>
      <c r="G60" s="26"/>
      <c r="H60" s="26"/>
      <c r="I60" s="26"/>
      <c r="J60" s="30"/>
      <c r="K60" s="30"/>
      <c r="L60" s="26"/>
      <c r="N60" s="31" t="s">
        <v>305</v>
      </c>
    </row>
    <row r="61" spans="1:14" ht="10.5">
      <c r="A61" s="27">
        <v>55</v>
      </c>
      <c r="B61" s="9" t="s">
        <v>94</v>
      </c>
      <c r="C61" s="31" t="s">
        <v>254</v>
      </c>
      <c r="D61" s="34">
        <v>0</v>
      </c>
      <c r="F61" s="26">
        <f>ROUND(SUMIF(Определители!I6:I16,"=7",'Текущие цены с учетом расхода'!H6:H16),2)</f>
        <v>0</v>
      </c>
      <c r="G61" s="26"/>
      <c r="H61" s="26"/>
      <c r="I61" s="26"/>
      <c r="J61" s="30"/>
      <c r="K61" s="30"/>
      <c r="L61" s="26"/>
      <c r="N61" s="31" t="s">
        <v>306</v>
      </c>
    </row>
    <row r="62" spans="1:14" ht="10.5">
      <c r="A62" s="27">
        <v>56</v>
      </c>
      <c r="B62" s="9" t="s">
        <v>95</v>
      </c>
      <c r="C62" s="31" t="s">
        <v>254</v>
      </c>
      <c r="D62" s="34">
        <v>0</v>
      </c>
      <c r="F62" s="26">
        <f>ROUND(SUMIF(Определители!I6:I16,"=7",'Текущие цены с учетом расхода'!N6:N16),2)</f>
        <v>0</v>
      </c>
      <c r="G62" s="26"/>
      <c r="H62" s="26"/>
      <c r="I62" s="26"/>
      <c r="J62" s="30"/>
      <c r="K62" s="30"/>
      <c r="L62" s="26"/>
      <c r="N62" s="31" t="s">
        <v>307</v>
      </c>
    </row>
    <row r="63" spans="1:14" ht="10.5">
      <c r="A63" s="27">
        <v>57</v>
      </c>
      <c r="B63" s="9" t="s">
        <v>96</v>
      </c>
      <c r="C63" s="31" t="s">
        <v>254</v>
      </c>
      <c r="D63" s="34">
        <v>0</v>
      </c>
      <c r="F63" s="26">
        <f>ROUND(SUMIF(Определители!I6:I16,"=7",'Текущие цены с учетом расхода'!O6:O16),2)</f>
        <v>0</v>
      </c>
      <c r="G63" s="26"/>
      <c r="H63" s="26"/>
      <c r="I63" s="26"/>
      <c r="J63" s="30"/>
      <c r="K63" s="30"/>
      <c r="L63" s="26"/>
      <c r="N63" s="31" t="s">
        <v>308</v>
      </c>
    </row>
    <row r="64" spans="1:14" ht="10.5">
      <c r="A64" s="27">
        <v>58</v>
      </c>
      <c r="B64" s="9" t="s">
        <v>115</v>
      </c>
      <c r="C64" s="31" t="s">
        <v>260</v>
      </c>
      <c r="D64" s="34">
        <v>0</v>
      </c>
      <c r="F64" s="26">
        <f>ROUND((F58+F62+F63),2)</f>
        <v>0</v>
      </c>
      <c r="G64" s="26"/>
      <c r="H64" s="26"/>
      <c r="I64" s="26"/>
      <c r="J64" s="30"/>
      <c r="K64" s="30"/>
      <c r="L64" s="26"/>
      <c r="N64" s="31" t="s">
        <v>309</v>
      </c>
    </row>
    <row r="65" spans="1:14" ht="10.5">
      <c r="A65" s="27">
        <v>59</v>
      </c>
      <c r="B65" s="9" t="s">
        <v>116</v>
      </c>
      <c r="C65" s="31" t="s">
        <v>254</v>
      </c>
      <c r="D65" s="34">
        <v>0</v>
      </c>
      <c r="F65" s="26">
        <f>ROUND(SUMIF(Определители!I6:I16,"=;",'Текущие цены с учетом расхода'!B6:B16),2)</f>
        <v>2946.97</v>
      </c>
      <c r="G65" s="26">
        <f>ROUND(SUMIF(Определители!I6:I16,"=;",'Текущие цены с учетом расхода'!C6:C16),2)</f>
        <v>0</v>
      </c>
      <c r="H65" s="26">
        <f>ROUND(SUMIF(Определители!I6:I16,"=;",'Текущие цены с учетом расхода'!D6:D16),2)</f>
        <v>2946.97</v>
      </c>
      <c r="I65" s="26">
        <f>ROUND(SUMIF(Определители!I6:I16,"=;",'Текущие цены с учетом расхода'!E6:E16),2)</f>
        <v>0</v>
      </c>
      <c r="J65" s="30">
        <f>ROUND(SUMIF(Определители!I6:I16,"=;",'Текущие цены с учетом расхода'!I6:I16),8)</f>
        <v>0</v>
      </c>
      <c r="K65" s="30">
        <f>ROUND(SUMIF(Определители!I6:I16,"=;",'Текущие цены с учетом расхода'!K6:K16),8)</f>
        <v>0</v>
      </c>
      <c r="L65" s="26">
        <f>ROUND(SUMIF(Определители!I6:I16,"=;",'Текущие цены с учетом расхода'!F6:F16),2)</f>
        <v>0</v>
      </c>
      <c r="N65" s="31" t="s">
        <v>310</v>
      </c>
    </row>
    <row r="66" spans="1:14" ht="10.5">
      <c r="A66" s="27">
        <v>60</v>
      </c>
      <c r="B66" s="9" t="s">
        <v>117</v>
      </c>
      <c r="C66" s="31" t="s">
        <v>254</v>
      </c>
      <c r="D66" s="34">
        <v>0</v>
      </c>
      <c r="F66" s="26">
        <f>ROUND(SUMIF(Определители!I6:I16,"=;",'Текущие цены с учетом расхода'!AF6:AF16),2)</f>
        <v>0</v>
      </c>
      <c r="G66" s="26"/>
      <c r="H66" s="26"/>
      <c r="I66" s="26"/>
      <c r="J66" s="30"/>
      <c r="K66" s="30"/>
      <c r="L66" s="26"/>
      <c r="N66" s="31" t="s">
        <v>311</v>
      </c>
    </row>
    <row r="67" spans="1:14" ht="10.5">
      <c r="A67" s="27">
        <v>61</v>
      </c>
      <c r="B67" s="9" t="s">
        <v>118</v>
      </c>
      <c r="C67" s="31" t="s">
        <v>254</v>
      </c>
      <c r="D67" s="34">
        <v>0</v>
      </c>
      <c r="F67" s="26">
        <f>ROUND(SUMIF(Определители!I6:I16,"=;",'Текущие цены с учетом расхода'!AG6:AG16),2)</f>
        <v>0</v>
      </c>
      <c r="G67" s="26"/>
      <c r="H67" s="26"/>
      <c r="I67" s="26"/>
      <c r="J67" s="30"/>
      <c r="K67" s="30"/>
      <c r="L67" s="26"/>
      <c r="N67" s="31" t="s">
        <v>312</v>
      </c>
    </row>
    <row r="68" spans="1:14" ht="10.5">
      <c r="A68" s="27">
        <v>62</v>
      </c>
      <c r="B68" s="9" t="s">
        <v>95</v>
      </c>
      <c r="C68" s="31" t="s">
        <v>254</v>
      </c>
      <c r="D68" s="34">
        <v>0</v>
      </c>
      <c r="F68" s="26">
        <f>ROUND(SUMIF(Определители!I6:I16,"=;",'Текущие цены с учетом расхода'!N6:N16),2)</f>
        <v>0</v>
      </c>
      <c r="G68" s="26"/>
      <c r="H68" s="26"/>
      <c r="I68" s="26"/>
      <c r="J68" s="30"/>
      <c r="K68" s="30"/>
      <c r="L68" s="26"/>
      <c r="N68" s="31" t="s">
        <v>313</v>
      </c>
    </row>
    <row r="69" spans="1:14" ht="10.5">
      <c r="A69" s="27">
        <v>63</v>
      </c>
      <c r="B69" s="9" t="s">
        <v>96</v>
      </c>
      <c r="C69" s="31" t="s">
        <v>254</v>
      </c>
      <c r="D69" s="34">
        <v>0</v>
      </c>
      <c r="F69" s="26">
        <f>ROUND(SUMIF(Определители!I6:I16,"=;",'Текущие цены с учетом расхода'!O6:O16),2)</f>
        <v>0</v>
      </c>
      <c r="G69" s="26"/>
      <c r="H69" s="26"/>
      <c r="I69" s="26"/>
      <c r="J69" s="30"/>
      <c r="K69" s="30"/>
      <c r="L69" s="26"/>
      <c r="N69" s="31" t="s">
        <v>314</v>
      </c>
    </row>
    <row r="70" spans="1:14" ht="10.5">
      <c r="A70" s="27">
        <v>64</v>
      </c>
      <c r="B70" s="9" t="s">
        <v>119</v>
      </c>
      <c r="C70" s="31" t="s">
        <v>260</v>
      </c>
      <c r="D70" s="34">
        <v>0</v>
      </c>
      <c r="F70" s="26">
        <f>ROUND((F65+F68+F69),2)</f>
        <v>2946.97</v>
      </c>
      <c r="G70" s="26"/>
      <c r="H70" s="26"/>
      <c r="I70" s="26"/>
      <c r="J70" s="30"/>
      <c r="K70" s="30"/>
      <c r="L70" s="26"/>
      <c r="N70" s="31" t="s">
        <v>315</v>
      </c>
    </row>
    <row r="71" spans="1:14" ht="10.5">
      <c r="A71" s="27">
        <v>65</v>
      </c>
      <c r="B71" s="9" t="s">
        <v>120</v>
      </c>
      <c r="C71" s="31" t="s">
        <v>254</v>
      </c>
      <c r="D71" s="34">
        <v>0</v>
      </c>
      <c r="F71" s="26">
        <f>ROUND(SUMIF(Определители!I6:I16,"=9",'Текущие цены с учетом расхода'!B6:B16),2)</f>
        <v>0</v>
      </c>
      <c r="G71" s="26">
        <f>ROUND(SUMIF(Определители!I6:I16,"=9",'Текущие цены с учетом расхода'!C6:C16),2)</f>
        <v>0</v>
      </c>
      <c r="H71" s="26">
        <f>ROUND(SUMIF(Определители!I6:I16,"=9",'Текущие цены с учетом расхода'!D6:D16),2)</f>
        <v>0</v>
      </c>
      <c r="I71" s="26">
        <f>ROUND(SUMIF(Определители!I6:I16,"=9",'Текущие цены с учетом расхода'!E6:E16),2)</f>
        <v>0</v>
      </c>
      <c r="J71" s="30">
        <f>ROUND(SUMIF(Определители!I6:I16,"=9",'Текущие цены с учетом расхода'!I6:I16),8)</f>
        <v>0</v>
      </c>
      <c r="K71" s="30">
        <f>ROUND(SUMIF(Определители!I6:I16,"=9",'Текущие цены с учетом расхода'!K6:K16),8)</f>
        <v>0</v>
      </c>
      <c r="L71" s="26">
        <f>ROUND(SUMIF(Определители!I6:I16,"=9",'Текущие цены с учетом расхода'!F6:F16),2)</f>
        <v>0</v>
      </c>
      <c r="N71" s="31" t="s">
        <v>316</v>
      </c>
    </row>
    <row r="72" spans="1:14" ht="10.5">
      <c r="A72" s="27">
        <v>66</v>
      </c>
      <c r="B72" s="9" t="s">
        <v>95</v>
      </c>
      <c r="C72" s="31" t="s">
        <v>254</v>
      </c>
      <c r="D72" s="34">
        <v>0</v>
      </c>
      <c r="F72" s="26">
        <f>ROUND(SUMIF(Определители!I6:I16,"=9",'Текущие цены с учетом расхода'!N6:N16),2)</f>
        <v>0</v>
      </c>
      <c r="G72" s="26"/>
      <c r="H72" s="26"/>
      <c r="I72" s="26"/>
      <c r="J72" s="30"/>
      <c r="K72" s="30"/>
      <c r="L72" s="26"/>
      <c r="N72" s="31" t="s">
        <v>317</v>
      </c>
    </row>
    <row r="73" spans="1:14" ht="10.5">
      <c r="A73" s="27">
        <v>67</v>
      </c>
      <c r="B73" s="9" t="s">
        <v>96</v>
      </c>
      <c r="C73" s="31" t="s">
        <v>254</v>
      </c>
      <c r="D73" s="34">
        <v>0</v>
      </c>
      <c r="F73" s="26">
        <f>ROUND(SUMIF(Определители!I6:I16,"=9",'Текущие цены с учетом расхода'!O6:O16),2)</f>
        <v>0</v>
      </c>
      <c r="G73" s="26"/>
      <c r="H73" s="26"/>
      <c r="I73" s="26"/>
      <c r="J73" s="30"/>
      <c r="K73" s="30"/>
      <c r="L73" s="26"/>
      <c r="N73" s="31" t="s">
        <v>318</v>
      </c>
    </row>
    <row r="74" spans="1:14" ht="10.5">
      <c r="A74" s="27">
        <v>68</v>
      </c>
      <c r="B74" s="9" t="s">
        <v>121</v>
      </c>
      <c r="C74" s="31" t="s">
        <v>260</v>
      </c>
      <c r="D74" s="34">
        <v>0</v>
      </c>
      <c r="F74" s="26">
        <f>ROUND((F71+F72+F73),2)</f>
        <v>0</v>
      </c>
      <c r="G74" s="26"/>
      <c r="H74" s="26"/>
      <c r="I74" s="26"/>
      <c r="J74" s="30"/>
      <c r="K74" s="30"/>
      <c r="L74" s="26"/>
      <c r="N74" s="31" t="s">
        <v>319</v>
      </c>
    </row>
    <row r="75" spans="1:14" ht="10.5">
      <c r="A75" s="27">
        <v>69</v>
      </c>
      <c r="B75" s="9" t="s">
        <v>122</v>
      </c>
      <c r="C75" s="31" t="s">
        <v>254</v>
      </c>
      <c r="D75" s="34">
        <v>0</v>
      </c>
      <c r="F75" s="26">
        <f>ROUND(SUMIF(Определители!I6:I16,"=:",'Текущие цены с учетом расхода'!B6:B16),2)</f>
        <v>0</v>
      </c>
      <c r="G75" s="26">
        <f>ROUND(SUMIF(Определители!I6:I16,"=:",'Текущие цены с учетом расхода'!C6:C16),2)</f>
        <v>0</v>
      </c>
      <c r="H75" s="26">
        <f>ROUND(SUMIF(Определители!I6:I16,"=:",'Текущие цены с учетом расхода'!D6:D16),2)</f>
        <v>0</v>
      </c>
      <c r="I75" s="26">
        <f>ROUND(SUMIF(Определители!I6:I16,"=:",'Текущие цены с учетом расхода'!E6:E16),2)</f>
        <v>0</v>
      </c>
      <c r="J75" s="30">
        <f>ROUND(SUMIF(Определители!I6:I16,"=:",'Текущие цены с учетом расхода'!I6:I16),8)</f>
        <v>0</v>
      </c>
      <c r="K75" s="30">
        <f>ROUND(SUMIF(Определители!I6:I16,"=:",'Текущие цены с учетом расхода'!K6:K16),8)</f>
        <v>0</v>
      </c>
      <c r="L75" s="26">
        <f>ROUND(SUMIF(Определители!I6:I16,"=:",'Текущие цены с учетом расхода'!F6:F16),2)</f>
        <v>0</v>
      </c>
      <c r="N75" s="31" t="s">
        <v>320</v>
      </c>
    </row>
    <row r="76" spans="1:14" ht="10.5">
      <c r="A76" s="27">
        <v>70</v>
      </c>
      <c r="B76" s="9" t="s">
        <v>94</v>
      </c>
      <c r="C76" s="31" t="s">
        <v>254</v>
      </c>
      <c r="D76" s="34">
        <v>0</v>
      </c>
      <c r="F76" s="26">
        <f>ROUND(SUMIF(Определители!I6:I16,"=:",'Текущие цены с учетом расхода'!H6:H16),2)</f>
        <v>0</v>
      </c>
      <c r="G76" s="26"/>
      <c r="H76" s="26"/>
      <c r="I76" s="26"/>
      <c r="J76" s="30"/>
      <c r="K76" s="30"/>
      <c r="L76" s="26"/>
      <c r="N76" s="31" t="s">
        <v>321</v>
      </c>
    </row>
    <row r="77" spans="1:14" ht="10.5">
      <c r="A77" s="27">
        <v>71</v>
      </c>
      <c r="B77" s="9" t="s">
        <v>95</v>
      </c>
      <c r="C77" s="31" t="s">
        <v>254</v>
      </c>
      <c r="D77" s="34">
        <v>0</v>
      </c>
      <c r="F77" s="26">
        <f>ROUND(SUMIF(Определители!I6:I16,"=:",'Текущие цены с учетом расхода'!N6:N16),2)</f>
        <v>0</v>
      </c>
      <c r="G77" s="26"/>
      <c r="H77" s="26"/>
      <c r="I77" s="26"/>
      <c r="J77" s="30"/>
      <c r="K77" s="30"/>
      <c r="L77" s="26"/>
      <c r="N77" s="31" t="s">
        <v>322</v>
      </c>
    </row>
    <row r="78" spans="1:14" ht="10.5">
      <c r="A78" s="27">
        <v>72</v>
      </c>
      <c r="B78" s="9" t="s">
        <v>96</v>
      </c>
      <c r="C78" s="31" t="s">
        <v>254</v>
      </c>
      <c r="D78" s="34">
        <v>0</v>
      </c>
      <c r="F78" s="26">
        <f>ROUND(SUMIF(Определители!I6:I16,"=:",'Текущие цены с учетом расхода'!O6:O16),2)</f>
        <v>0</v>
      </c>
      <c r="G78" s="26"/>
      <c r="H78" s="26"/>
      <c r="I78" s="26"/>
      <c r="J78" s="30"/>
      <c r="K78" s="30"/>
      <c r="L78" s="26"/>
      <c r="N78" s="31" t="s">
        <v>323</v>
      </c>
    </row>
    <row r="79" spans="1:14" ht="10.5">
      <c r="A79" s="27">
        <v>73</v>
      </c>
      <c r="B79" s="9" t="s">
        <v>123</v>
      </c>
      <c r="C79" s="31" t="s">
        <v>260</v>
      </c>
      <c r="D79" s="34">
        <v>0</v>
      </c>
      <c r="F79" s="26">
        <f>ROUND((F75+F77+F78),2)</f>
        <v>0</v>
      </c>
      <c r="G79" s="26"/>
      <c r="H79" s="26"/>
      <c r="I79" s="26"/>
      <c r="J79" s="30"/>
      <c r="K79" s="30"/>
      <c r="L79" s="26"/>
      <c r="N79" s="31" t="s">
        <v>324</v>
      </c>
    </row>
    <row r="80" spans="1:14" ht="10.5">
      <c r="A80" s="27">
        <v>74</v>
      </c>
      <c r="B80" s="9" t="s">
        <v>124</v>
      </c>
      <c r="C80" s="31" t="s">
        <v>254</v>
      </c>
      <c r="D80" s="34">
        <v>0</v>
      </c>
      <c r="F80" s="26">
        <f>ROUND(SUMIF(Определители!I6:I16,"=8",'Текущие цены с учетом расхода'!B6:B16),2)</f>
        <v>0</v>
      </c>
      <c r="G80" s="26">
        <f>ROUND(SUMIF(Определители!I6:I16,"=8",'Текущие цены с учетом расхода'!C6:C16),2)</f>
        <v>0</v>
      </c>
      <c r="H80" s="26">
        <f>ROUND(SUMIF(Определители!I6:I16,"=8",'Текущие цены с учетом расхода'!D6:D16),2)</f>
        <v>0</v>
      </c>
      <c r="I80" s="26">
        <f>ROUND(SUMIF(Определители!I6:I16,"=8",'Текущие цены с учетом расхода'!E6:E16),2)</f>
        <v>0</v>
      </c>
      <c r="J80" s="30">
        <f>ROUND(SUMIF(Определители!I6:I16,"=8",'Текущие цены с учетом расхода'!I6:I16),8)</f>
        <v>0</v>
      </c>
      <c r="K80" s="30">
        <f>ROUND(SUMIF(Определители!I6:I16,"=8",'Текущие цены с учетом расхода'!K6:K16),8)</f>
        <v>0</v>
      </c>
      <c r="L80" s="26">
        <f>ROUND(SUMIF(Определители!I6:I16,"=8",'Текущие цены с учетом расхода'!F6:F16),2)</f>
        <v>0</v>
      </c>
      <c r="N80" s="31" t="s">
        <v>325</v>
      </c>
    </row>
    <row r="81" spans="1:14" ht="10.5">
      <c r="A81" s="27">
        <v>75</v>
      </c>
      <c r="B81" s="9" t="s">
        <v>94</v>
      </c>
      <c r="C81" s="31" t="s">
        <v>254</v>
      </c>
      <c r="D81" s="34">
        <v>0</v>
      </c>
      <c r="F81" s="26">
        <f>ROUND(SUMIF(Определители!I6:I16,"=8",'Текущие цены с учетом расхода'!H6:H16),2)</f>
        <v>0</v>
      </c>
      <c r="G81" s="26"/>
      <c r="H81" s="26"/>
      <c r="I81" s="26"/>
      <c r="J81" s="30"/>
      <c r="K81" s="30"/>
      <c r="L81" s="26"/>
      <c r="N81" s="31" t="s">
        <v>326</v>
      </c>
    </row>
    <row r="82" spans="1:14" ht="10.5">
      <c r="A82" s="27">
        <v>76</v>
      </c>
      <c r="B82" s="9" t="s">
        <v>125</v>
      </c>
      <c r="C82" s="31" t="s">
        <v>260</v>
      </c>
      <c r="D82" s="34">
        <v>0</v>
      </c>
      <c r="F82" s="26">
        <f>ROUND((F17+F27+F34+F39+F47+F52+F57+F64+F74+F79+F80+F70),2)</f>
        <v>42079.21</v>
      </c>
      <c r="G82" s="26">
        <f>ROUND((G17+G27+G34+G39+G47+G52+G57+G64+G74+G79+G80+G70),2)</f>
        <v>0</v>
      </c>
      <c r="H82" s="26">
        <f>ROUND((H17+H27+H34+H39+H47+H52+H57+H64+H74+H79+H80+H70),2)</f>
        <v>0</v>
      </c>
      <c r="I82" s="26">
        <f>ROUND((I17+I27+I34+I39+I47+I52+I57+I64+I74+I79+I80+I70),2)</f>
        <v>0</v>
      </c>
      <c r="J82" s="30">
        <f>ROUND((J17+J27+J34+J39+J47+J52+J57+J64+J74+J79+J80+J70),8)</f>
        <v>0</v>
      </c>
      <c r="K82" s="30">
        <f>ROUND((K17+K27+K34+K39+K47+K52+K57+K64+K74+K79+K80+K70),8)</f>
        <v>0</v>
      </c>
      <c r="L82" s="26">
        <f>ROUND((L17+L27+L34+L39+L47+L52+L57+L64+L74+L79+L80+L70),2)</f>
        <v>0</v>
      </c>
      <c r="N82" s="31" t="s">
        <v>327</v>
      </c>
    </row>
    <row r="83" spans="1:14" ht="10.5">
      <c r="A83" s="27">
        <v>77</v>
      </c>
      <c r="B83" s="9" t="s">
        <v>126</v>
      </c>
      <c r="C83" s="31" t="s">
        <v>260</v>
      </c>
      <c r="D83" s="34">
        <v>0</v>
      </c>
      <c r="F83" s="26">
        <f>ROUND((F23+F31+F36+F43+F49+F54+F61+F76+F81),2)</f>
        <v>0</v>
      </c>
      <c r="G83" s="26"/>
      <c r="H83" s="26"/>
      <c r="I83" s="26"/>
      <c r="J83" s="30"/>
      <c r="K83" s="30"/>
      <c r="L83" s="26"/>
      <c r="N83" s="31" t="s">
        <v>328</v>
      </c>
    </row>
    <row r="84" spans="1:14" ht="10.5">
      <c r="A84" s="27">
        <v>78</v>
      </c>
      <c r="B84" s="9" t="s">
        <v>127</v>
      </c>
      <c r="C84" s="31" t="s">
        <v>260</v>
      </c>
      <c r="D84" s="34">
        <v>0</v>
      </c>
      <c r="F84" s="26">
        <f>ROUND((F24+F32+F37+F44+F50+F55+F62+F72+F77+F68),2)</f>
        <v>3587.94</v>
      </c>
      <c r="G84" s="26"/>
      <c r="H84" s="26"/>
      <c r="I84" s="26"/>
      <c r="J84" s="30"/>
      <c r="K84" s="30"/>
      <c r="L84" s="26"/>
      <c r="N84" s="31" t="s">
        <v>329</v>
      </c>
    </row>
    <row r="85" spans="1:14" ht="10.5">
      <c r="A85" s="27">
        <v>79</v>
      </c>
      <c r="B85" s="9" t="s">
        <v>128</v>
      </c>
      <c r="C85" s="31" t="s">
        <v>260</v>
      </c>
      <c r="D85" s="34">
        <v>0</v>
      </c>
      <c r="F85" s="26">
        <f>ROUND((F25+F33+F38+F45+F51+F56+F63+F73+F78+F69),2)</f>
        <v>2759.34</v>
      </c>
      <c r="G85" s="26"/>
      <c r="H85" s="26"/>
      <c r="I85" s="26"/>
      <c r="J85" s="30"/>
      <c r="K85" s="30"/>
      <c r="L85" s="26"/>
      <c r="N85" s="31" t="s">
        <v>330</v>
      </c>
    </row>
    <row r="86" spans="1:14" ht="10.5">
      <c r="A86" s="27">
        <v>80</v>
      </c>
      <c r="B86" s="9" t="s">
        <v>37</v>
      </c>
      <c r="C86" s="31" t="s">
        <v>331</v>
      </c>
      <c r="D86" s="34">
        <v>0</v>
      </c>
      <c r="F86" s="26">
        <f>ROUND(SUM('Текущие цены с учетом расхода'!X6:X16),2)</f>
        <v>0</v>
      </c>
      <c r="G86" s="26"/>
      <c r="H86" s="26"/>
      <c r="I86" s="26"/>
      <c r="J86" s="30"/>
      <c r="K86" s="30"/>
      <c r="L86" s="26">
        <f>ROUND(SUM('Текущие цены с учетом расхода'!X6:X16),2)</f>
        <v>0</v>
      </c>
      <c r="N86" s="31" t="s">
        <v>332</v>
      </c>
    </row>
    <row r="87" spans="1:14" ht="10.5">
      <c r="A87" s="27">
        <v>81</v>
      </c>
      <c r="B87" s="9" t="s">
        <v>129</v>
      </c>
      <c r="C87" s="31" t="s">
        <v>331</v>
      </c>
      <c r="D87" s="34">
        <v>0</v>
      </c>
      <c r="F87" s="26">
        <f>ROUND(SUM(G87:N87),2)</f>
        <v>0</v>
      </c>
      <c r="G87" s="26"/>
      <c r="H87" s="26"/>
      <c r="I87" s="26"/>
      <c r="J87" s="30"/>
      <c r="K87" s="30"/>
      <c r="L87" s="26">
        <f>ROUND(SUM('Текущие цены с учетом расхода'!AE6:AE16),2)</f>
        <v>0</v>
      </c>
      <c r="N87" s="31" t="s">
        <v>333</v>
      </c>
    </row>
    <row r="88" spans="1:14" ht="10.5">
      <c r="A88" s="27">
        <v>82</v>
      </c>
      <c r="B88" s="9" t="s">
        <v>130</v>
      </c>
      <c r="C88" s="31" t="s">
        <v>331</v>
      </c>
      <c r="D88" s="34">
        <v>0</v>
      </c>
      <c r="F88" s="26">
        <f>ROUND(SUM('Текущие цены с учетом расхода'!C6:C16),2)</f>
        <v>3885.31</v>
      </c>
      <c r="G88" s="26"/>
      <c r="H88" s="26"/>
      <c r="I88" s="26"/>
      <c r="J88" s="30"/>
      <c r="K88" s="30"/>
      <c r="L88" s="26"/>
      <c r="N88" s="31" t="s">
        <v>334</v>
      </c>
    </row>
    <row r="89" spans="1:14" ht="10.5">
      <c r="A89" s="27">
        <v>83</v>
      </c>
      <c r="B89" s="9" t="s">
        <v>131</v>
      </c>
      <c r="C89" s="31" t="s">
        <v>331</v>
      </c>
      <c r="D89" s="34">
        <v>0</v>
      </c>
      <c r="F89" s="26">
        <f>ROUND(SUM('Текущие цены с учетом расхода'!E6:E16),2)</f>
        <v>811.7</v>
      </c>
      <c r="G89" s="26"/>
      <c r="H89" s="26"/>
      <c r="I89" s="26"/>
      <c r="J89" s="30"/>
      <c r="K89" s="30"/>
      <c r="L89" s="26"/>
      <c r="N89" s="31" t="s">
        <v>335</v>
      </c>
    </row>
    <row r="90" spans="1:14" ht="10.5">
      <c r="A90" s="27">
        <v>84</v>
      </c>
      <c r="B90" s="9" t="s">
        <v>132</v>
      </c>
      <c r="C90" s="31" t="s">
        <v>336</v>
      </c>
      <c r="D90" s="34">
        <v>0</v>
      </c>
      <c r="F90" s="26">
        <f>ROUND((F88+F89),2)</f>
        <v>4697.01</v>
      </c>
      <c r="G90" s="26"/>
      <c r="H90" s="26"/>
      <c r="I90" s="26"/>
      <c r="J90" s="30"/>
      <c r="K90" s="30"/>
      <c r="L90" s="26"/>
      <c r="N90" s="31" t="s">
        <v>337</v>
      </c>
    </row>
    <row r="91" spans="1:14" ht="10.5">
      <c r="A91" s="27">
        <v>85</v>
      </c>
      <c r="B91" s="9" t="s">
        <v>133</v>
      </c>
      <c r="C91" s="31" t="s">
        <v>331</v>
      </c>
      <c r="D91" s="34">
        <v>0</v>
      </c>
      <c r="F91" s="26"/>
      <c r="G91" s="26"/>
      <c r="H91" s="26"/>
      <c r="I91" s="26"/>
      <c r="J91" s="30">
        <f>ROUND(SUM('Текущие цены с учетом расхода'!I6:I16),8)</f>
        <v>16.47437</v>
      </c>
      <c r="K91" s="30"/>
      <c r="L91" s="26"/>
      <c r="N91" s="31" t="s">
        <v>338</v>
      </c>
    </row>
    <row r="92" spans="1:14" ht="10.5">
      <c r="A92" s="27">
        <v>86</v>
      </c>
      <c r="B92" s="9" t="s">
        <v>134</v>
      </c>
      <c r="C92" s="31" t="s">
        <v>331</v>
      </c>
      <c r="D92" s="34">
        <v>0</v>
      </c>
      <c r="F92" s="26"/>
      <c r="G92" s="26"/>
      <c r="H92" s="26"/>
      <c r="I92" s="26"/>
      <c r="J92" s="30">
        <f>ROUND(SUM('Текущие цены с учетом расхода'!K6:K16),8)</f>
        <v>2.835925</v>
      </c>
      <c r="K92" s="30"/>
      <c r="L92" s="26"/>
      <c r="N92" s="31" t="s">
        <v>339</v>
      </c>
    </row>
    <row r="93" spans="1:14" ht="10.5">
      <c r="A93" s="27">
        <v>87</v>
      </c>
      <c r="B93" s="9" t="s">
        <v>135</v>
      </c>
      <c r="C93" s="31" t="s">
        <v>336</v>
      </c>
      <c r="D93" s="34">
        <v>0</v>
      </c>
      <c r="F93" s="26"/>
      <c r="G93" s="26"/>
      <c r="H93" s="26"/>
      <c r="I93" s="26"/>
      <c r="J93" s="30">
        <f>ROUND((J91+J92),8)</f>
        <v>19.310295</v>
      </c>
      <c r="K93" s="30"/>
      <c r="L93" s="26"/>
      <c r="N93" s="31" t="s">
        <v>340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Заинчковская</cp:lastModifiedBy>
  <cp:lastPrinted>2019-12-03T08:40:50Z</cp:lastPrinted>
  <dcterms:created xsi:type="dcterms:W3CDTF">2019-11-11T11:41:38Z</dcterms:created>
  <dcterms:modified xsi:type="dcterms:W3CDTF">2019-12-03T08:40:54Z</dcterms:modified>
  <cp:category/>
  <cp:version/>
  <cp:contentType/>
  <cp:contentStatus/>
</cp:coreProperties>
</file>