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activeTab="0"/>
  </bookViews>
  <sheets>
    <sheet name="Форма 4" sheetId="1" r:id="rId1"/>
    <sheet name="Базовые цены за единицу без нач" sheetId="2" r:id="rId2"/>
    <sheet name="Текущие цены за единицу" sheetId="3" r:id="rId3"/>
    <sheet name="Текущие цены с учетом расхода" sheetId="4" r:id="rId4"/>
    <sheet name="Начисления" sheetId="5" r:id="rId5"/>
    <sheet name="Определители" sheetId="6" r:id="rId6"/>
    <sheet name="Текущие концовки" sheetId="7" r:id="rId7"/>
  </sheets>
  <definedNames/>
  <calcPr fullCalcOnLoad="1"/>
</workbook>
</file>

<file path=xl/sharedStrings.xml><?xml version="1.0" encoding="utf-8"?>
<sst xmlns="http://schemas.openxmlformats.org/spreadsheetml/2006/main" count="1224" uniqueCount="374">
  <si>
    <t>&lt; 173 * 1 * 1.1 &gt;</t>
  </si>
  <si>
    <t>Документ составлен в ПК РИК (вер.1.3.210125) тел./факс (495) 347-33-01</t>
  </si>
  <si>
    <t>Форма 4</t>
  </si>
  <si>
    <t xml:space="preserve">Стройка: </t>
  </si>
  <si>
    <t>Обустройство контейнерной площадки для сбора ТКО на территории Усть-Вымского района на 4 контейнера (ж/б плита) в 2021г</t>
  </si>
  <si>
    <t xml:space="preserve">Объект: </t>
  </si>
  <si>
    <t>ЛОКАЛЬНАЯ СМЕТА № 1.1</t>
  </si>
  <si>
    <t>(Локальный сметный расчет)</t>
  </si>
  <si>
    <t>на Обустройство контейнерной площадки для сбора ТКО на территории Усть-Вымского района на 4 контейнера (без ст-ти ж/б плиты)  6 площадок в 2021г</t>
  </si>
  <si>
    <t>Сметная стоимость:</t>
  </si>
  <si>
    <t>тыс. руб.</t>
  </si>
  <si>
    <t>Составлена в текущих ценах на 08.2021 г. по НБ: "ФЕР-2001 в редакции 2020 года с доп. и изм. 3 (приказ Минстроя России № 352/пр)".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</si>
  <si>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</si>
  <si>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</si>
  <si>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</si>
  <si>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</si>
  <si>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</si>
  <si>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</si>
  <si>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</si>
  <si>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</si>
  <si>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</si>
  <si>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</si>
  <si>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</si>
  <si>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</si>
  <si>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</si>
  <si>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ФЕР 01-02-027-05
(Приказ № 876/пр от 26.12.2019)
Планировка площадей: ручным способом, группа грунтов 2, 1000 м2</t>
  </si>
  <si>
    <t>sum</t>
  </si>
  <si>
    <t>IsZPR</t>
  </si>
  <si>
    <t>sum_b</t>
  </si>
  <si>
    <t>IsZPM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</si>
  <si>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</si>
  <si>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</si>
  <si>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</si>
  <si>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</si>
  <si>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</si>
  <si>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Вспомогательные ненормируемые материалы</t>
  </si>
  <si>
    <t>NenormMatOtZPR</t>
  </si>
  <si>
    <t>IsMater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</si>
  <si>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</si>
  <si>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</si>
  <si>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</si>
  <si>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</si>
  <si>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</si>
  <si>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</si>
  <si>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</si>
  <si>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</si>
  <si>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</si>
  <si>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</si>
  <si>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</si>
  <si>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</si>
  <si>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</si>
  <si>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</si>
  <si>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</si>
  <si>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</si>
  <si>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ФССЦпг 01-01-01-039
(Приказ № 876/пр от 26.12.2019)
Погрузка при автомобильных перевозках: грунта растительного слоя (земля, перегной), 1 т груза</t>
  </si>
  <si>
    <t>в т.ч. Накладные расходы</t>
  </si>
  <si>
    <t>в т.ч. Сметная прибыль</t>
  </si>
  <si>
    <t>3.</t>
  </si>
  <si>
    <t>ФССЦпг 03-21-01-003
(Приказ № 876/пр от 26.12.2019)
Перевозка грузов I класса автомобилями-самосвалами грузоподъемностью 10 т работающих вне карьера на расстояние: до 3 км, 1 т груза</t>
  </si>
  <si>
    <t>4.</t>
  </si>
  <si>
    <t>ФЕР 27-04-001-01
(Приказ № 294/пр от 01.06.2020)
Устройство подстилающих и выравнивающих слоев оснований: из песка, 100 м3</t>
  </si>
  <si>
    <t>5.</t>
  </si>
  <si>
    <t>ФССЦ 02.3.01.02-0033
(Приказ № 876/пр от 26.12.2019)
Песок природный обогащенный для строительных работ средний, м3</t>
  </si>
  <si>
    <t>6.</t>
  </si>
  <si>
    <t>ФЕР 27-04-001-04
(Приказ № 294/пр от 01.06.2020)
Устройство подстилающих и выравнивающих слоев оснований: из щебня, 100 м3</t>
  </si>
  <si>
    <t>7.</t>
  </si>
  <si>
    <t>ФССЦ 02.2.05.04-0085
(Приказ № 876/пр от 26.12.2019)
Щебень из природного камня для строительных работ марка: 600, фракция 5 (3)-40 мм, м3</t>
  </si>
  <si>
    <t>8.</t>
  </si>
  <si>
    <t>ФЕР 27-06-001-04
(Приказ № 876/пр от 26.12.2019)
Устройство дорожных покрытий из сборных прямоугольных железобетонных плит площадью: свыше 10,5 м2(ПДН 2х6) (без ст-ти плиты), 100 м3</t>
  </si>
  <si>
    <t>9.</t>
  </si>
  <si>
    <t>ФССЦпг 03-01-01-120
(Приказ № 876/пр от 26.12.2019)
Перевозка грузов I класса автомобилями бортовыми грузоподъемностью до 15 т на расстояние: до 120 км, 1 т груза</t>
  </si>
  <si>
    <t>Монтаж ограждающих конструкций</t>
  </si>
  <si>
    <t>10.</t>
  </si>
  <si>
    <t>ФЕР 09-04-006-02
(Приказ № 876/пр от 26.12.2019)
Монтаж ограждающих конструкций стен: из профилированного листа при высоте здания до 30 м, 100 м2</t>
  </si>
  <si>
    <t>11.</t>
  </si>
  <si>
    <t>ФССЦ 08.3.04.02-0075
(Приказ № 876/пр от 26.12.2019)
Сталь круглая и квадратная, марка: Ст3пс размером 40х40 мм (Б1=9шт,Б2=6шт), т</t>
  </si>
  <si>
    <t>12.</t>
  </si>
  <si>
    <t>ФССЦ 08.3.09.04-0012
(Приказ № 876/пр от 26.12.2019)
Профнастил оцинкованный с покрытием: полиэстер С8-1150-0,7, м2</t>
  </si>
  <si>
    <t>13.</t>
  </si>
  <si>
    <t>ФССЦ 01.7.15.04-0045
(Приказ № 876/пр от 26.12.2019)
Винты самонарезающие для крепления профилированного настила и панелей к несущим конструкциям, т</t>
  </si>
  <si>
    <t>14.</t>
  </si>
  <si>
    <t>С 1
Анкер распорный 18 М14х2, шт</t>
  </si>
  <si>
    <t>15.</t>
  </si>
  <si>
    <t>ФЕР 09-05-006-01
(Приказ № 876/пр от 26.12.2019)
Резка стального профилированного настила, м реза</t>
  </si>
  <si>
    <t>16.</t>
  </si>
  <si>
    <t>С стоимость
Затраты на дополнительный транспорт                         строительных материалов (п.11.1.3. прил.1 к приказу Минстроя РК №374-ОД от 05.06.2017г.), руб.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</si>
  <si>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</si>
  <si>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</si>
  <si>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</si>
  <si>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</si>
  <si>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</si>
  <si>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</si>
  <si>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</si>
  <si>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</si>
  <si>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</si>
  <si>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</si>
  <si>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</si>
  <si>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</si>
  <si>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</si>
  <si>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</si>
  <si>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</si>
  <si>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МАТЕРИАЛЬНЫЕ 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</si>
  <si>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</si>
  <si>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</si>
  <si>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</si>
  <si>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</si>
  <si>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</si>
  <si>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</si>
  <si>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(%=68 - по стр. 1; %=120.7 - по стр. 4, 6, 8)</t>
  </si>
  <si>
    <t>.   СМЕТНАЯ ПРИБЫЛЬ - (%=36 - по стр. 1; %=76 - по стр. 4, 6, 8)</t>
  </si>
  <si>
    <t>ВСЕГО, СТОИМОСТЬ ОБЩЕСТРОИТЕЛЬНЫХ РАБОТ -</t>
  </si>
  <si>
    <t>СТОИМОСТЬ МЕТАЛЛОМОНТАЖНЫХ РАБОТ -</t>
  </si>
  <si>
    <t>.   НАКЛАДНЫЕ РАСХОДЫ - (%=76.5 - по стр. 10, 15)</t>
  </si>
  <si>
    <t>.   СМЕТНАЯ ПРИБЫЛЬ - (%=68 - по стр. 10, 15)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</si>
  <si>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</si>
  <si>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</si>
  <si>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</si>
  <si>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</si>
  <si>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</si>
  <si>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</si>
  <si>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</si>
  <si>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</si>
  <si>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РЕСТАВРАЦИОННЫХ РАБОТ -</t>
  </si>
  <si>
    <t>. МАТЕРИАЛЫ -</t>
  </si>
  <si>
    <t>ВСЕГО, СТОИМОСТЬ РЕСТАВРАЦИОННЫХ РАБОТ -</t>
  </si>
  <si>
    <t>СТОИМОСТЬ ПЕРЕВОЗКИ ГРУЗОВ -</t>
  </si>
  <si>
    <t>.   В Т.Ч. НАКЛАДНЫЕ РАСХОДЫ -</t>
  </si>
  <si>
    <t>.   В Т.Ч. СМЕТНАЯ ПРИБЫЛЬ -</t>
  </si>
  <si>
    <t>ВСЕГО, СТОИМОСТЬ ПЕРЕВОЗКИ ГРУЗОВ -</t>
  </si>
  <si>
    <t>СТОИМОСТЬ ПУСКОНАЛАДОЧНЫХ РАБОТ -</t>
  </si>
  <si>
    <t>ВСЕГО, СТОИМОСТЬ ПУСКОНАЛАДОЧНЫХ РАБОТ -</t>
  </si>
  <si>
    <t>СТОИМОСТЬ ПРОЧИХ РАБОТ (с НР и СП) -</t>
  </si>
  <si>
    <t>ВСЕГО, СТОИМОСТЬ ПРОЧИХ РАБОТ (с НР и СП) -</t>
  </si>
  <si>
    <t>ВСЕГО, СТОИМОСТЬ ПРОЧИХ РАБОТ (без НР и СП)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</si>
  <si>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</si>
  <si>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</si>
  <si>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</si>
  <si>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</si>
  <si>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в т.ч. Вспомогательные материалы от ОЗП</t>
  </si>
  <si>
    <t>справочно</t>
  </si>
  <si>
    <t>Материалы с оборудованием</t>
  </si>
  <si>
    <t>Оборудование</t>
  </si>
  <si>
    <t>Оплата труда рабочих</t>
  </si>
  <si>
    <t>в т. ч. оплата труда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</si>
  <si>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</si>
  <si>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</si>
  <si>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</si>
  <si>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</si>
  <si>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НДС</t>
  </si>
  <si>
    <t>ВСЕГО  ПО  СМЕТЕ  с  НДС</t>
  </si>
  <si>
    <t>Составил: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</si>
  <si>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</si>
  <si>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</si>
  <si>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</si>
  <si>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</si>
  <si>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</si>
  <si>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</si>
  <si>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</si>
  <si>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</si>
  <si>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</si>
  <si>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</si>
  <si>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</si>
  <si>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</si>
  <si>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</si>
  <si>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</si>
  <si>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</si>
  <si>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</si>
  <si>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</si>
  <si>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</si>
  <si>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</si>
  <si>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</si>
  <si>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</si>
  <si>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</si>
  <si>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</si>
  <si>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</si>
  <si>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</si>
  <si>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</si>
  <si>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</si>
  <si>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</si>
  <si>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</si>
  <si>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</si>
  <si>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MR_BY_ZPR_VSPOMOG</t>
  </si>
  <si>
    <t>NAKL_INC</t>
  </si>
  <si>
    <t>PLAN_INC</t>
  </si>
  <si>
    <t>RN14</t>
  </si>
  <si>
    <t>RN15</t>
  </si>
  <si>
    <t>RN16</t>
  </si>
  <si>
    <t>OBORUD</t>
  </si>
  <si>
    <t>N = &lt; 173 * 1 * 1.1 &gt;</t>
  </si>
  <si>
    <t xml:space="preserve">          Обустройство контейнерной площадки для сбора ТКО на территории Усть-Вымского района на 4 контейнера (без ст-ти ж/б плиты)  6 площадок в 2021г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</si>
  <si>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</si>
  <si>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</si>
  <si>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</si>
  <si>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</si>
  <si>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</si>
  <si>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</si>
  <si>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</si>
  <si>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</si>
  <si>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</si>
  <si>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</si>
  <si>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</si>
  <si>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</si>
  <si>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</si>
  <si>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</si>
  <si>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</si>
  <si>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</si>
  <si>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</si>
  <si>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</si>
  <si>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</si>
  <si>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</si>
  <si>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</si>
  <si>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</si>
  <si>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</si>
  <si>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</si>
  <si>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</si>
  <si>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</si>
  <si>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</si>
  <si>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</si>
  <si>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</si>
  <si>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</si>
  <si>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</si>
  <si>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</si>
  <si>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</si>
  <si>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</si>
  <si>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</si>
  <si>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</si>
  <si>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</si>
  <si>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</si>
  <si>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</si>
  <si>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</si>
  <si>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</si>
  <si>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</si>
  <si>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</si>
  <si>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</si>
  <si>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</si>
  <si>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</si>
  <si>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</si>
  <si>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</si>
  <si>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</si>
  <si>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Н50</t>
  </si>
  <si>
    <t>Н51</t>
  </si>
  <si>
    <t>Н52</t>
  </si>
  <si>
    <t>Н53</t>
  </si>
  <si>
    <t>Н54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</si>
  <si>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</si>
  <si>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</si>
  <si>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</si>
  <si>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</si>
  <si>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</si>
  <si>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</si>
  <si>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</si>
  <si>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</si>
  <si>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</si>
  <si>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</si>
  <si>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</si>
  <si>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</si>
  <si>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</si>
  <si>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3</t>
  </si>
  <si>
    <t>;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</si>
  <si>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</si>
  <si>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</si>
  <si>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</si>
  <si>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</si>
  <si>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</si>
  <si>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</si>
  <si>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</si>
  <si>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</si>
  <si>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</si>
  <si>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</si>
  <si>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</si>
  <si>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</si>
  <si>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</si>
  <si>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</si>
  <si>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</si>
  <si>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</si>
  <si>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</si>
  <si>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</si>
  <si>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</si>
  <si>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</si>
  <si>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</si>
  <si>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</si>
  <si>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</si>
  <si>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</si>
  <si>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</si>
  <si>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</si>
  <si>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</si>
  <si>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</si>
  <si>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</si>
  <si>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</si>
  <si>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</si>
  <si>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</si>
  <si>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</si>
  <si>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</si>
  <si>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</si>
  <si>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</si>
  <si>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</si>
  <si>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</si>
  <si>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</si>
  <si>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</si>
  <si>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</si>
  <si>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</si>
  <si>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</si>
  <si>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</si>
  <si>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</si>
  <si>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</si>
  <si>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</si>
  <si>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</si>
  <si>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</si>
  <si>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</si>
  <si>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</si>
  <si>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</si>
  <si>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</si>
  <si>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</si>
  <si>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</si>
  <si>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</si>
  <si>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</si>
  <si>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</si>
  <si>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</si>
  <si>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</si>
  <si>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</si>
  <si>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</si>
  <si>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</si>
  <si>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</si>
  <si>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</si>
  <si>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</si>
  <si>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</si>
  <si>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</si>
  <si>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</si>
  <si>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</si>
  <si>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</si>
  <si>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</si>
  <si>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</si>
  <si>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</si>
  <si>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</si>
  <si>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</si>
  <si>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</si>
  <si>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</si>
  <si>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</si>
  <si>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</si>
  <si>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</si>
  <si>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</si>
  <si>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</si>
  <si>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</si>
  <si>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</si>
  <si>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</si>
  <si>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</si>
  <si>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</si>
  <si>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</si>
  <si>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</si>
  <si>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</si>
  <si>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h</t>
  </si>
  <si>
    <t>80</t>
  </si>
  <si>
    <t>81</t>
  </si>
  <si>
    <t>r</t>
  </si>
  <si>
    <t>82</t>
  </si>
  <si>
    <t>83</t>
  </si>
  <si>
    <t>m</t>
  </si>
  <si>
    <t>84</t>
  </si>
  <si>
    <t>85</t>
  </si>
  <si>
    <t>86</t>
  </si>
  <si>
    <t>87</t>
  </si>
  <si>
    <t>88</t>
  </si>
  <si>
    <t>s</t>
  </si>
  <si>
    <t>89</t>
  </si>
  <si>
    <t>90</t>
  </si>
  <si>
    <t>91</t>
  </si>
  <si>
    <t>92</t>
  </si>
  <si>
    <t>93</t>
  </si>
  <si>
    <t>94</t>
  </si>
  <si>
    <t>%</t>
  </si>
  <si>
    <t>95</t>
  </si>
  <si>
    <t>96</t>
  </si>
  <si>
    <t xml:space="preserve">Обустройство мест накопления твердых коммунальных отходов
</t>
  </si>
  <si>
    <t xml:space="preserve">на Обустройство мест накопления твердых коммунальных отходов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</si>
</sst>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General;\-General;"/>
    <numFmt numFmtId="167" formatCode="##0"/>
    <numFmt numFmtId="168" formatCode="#,##0.00;\-#,##0.00;"/>
    <numFmt numFmtId="169" formatCode="#,##0.##;\-#,##0.##;#\ ##"/>
    <numFmt numFmtId="170" formatCode="#,##0.00000000;\-#,##0.00000000;"/>
    <numFmt numFmtId="171" formatCode="#,##0.00######################"/>
  </numFmts>
  <fonts count="41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8"/>
      <color indexed="9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 applyProtection="1">
      <alignment/>
      <protection/>
    </xf>
    <xf numFmtId="166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top" wrapText="1"/>
    </xf>
    <xf numFmtId="168" fontId="3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right" vertical="top" wrapText="1"/>
    </xf>
    <xf numFmtId="166" fontId="0" fillId="0" borderId="12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left" vertical="top" wrapText="1"/>
    </xf>
    <xf numFmtId="166" fontId="2" fillId="0" borderId="0" xfId="0" applyNumberFormat="1" applyFont="1" applyAlignment="1">
      <alignment horizontal="right" vertical="top" wrapText="1"/>
    </xf>
    <xf numFmtId="168" fontId="2" fillId="0" borderId="0" xfId="0" applyNumberFormat="1" applyFont="1" applyAlignment="1">
      <alignment horizontal="right" vertical="top"/>
    </xf>
    <xf numFmtId="168" fontId="6" fillId="0" borderId="0" xfId="0" applyNumberFormat="1" applyFont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9" fontId="2" fillId="0" borderId="0" xfId="0" applyNumberFormat="1" applyFont="1" applyAlignment="1">
      <alignment horizontal="right" vertical="top"/>
    </xf>
    <xf numFmtId="166" fontId="7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/>
    </xf>
    <xf numFmtId="166" fontId="2" fillId="0" borderId="0" xfId="0" applyNumberFormat="1" applyFont="1" applyAlignment="1">
      <alignment horizontal="center" vertical="center"/>
    </xf>
    <xf numFmtId="166" fontId="0" fillId="33" borderId="0" xfId="0" applyNumberFormat="1" applyFont="1" applyFill="1" applyBorder="1" applyAlignment="1">
      <alignment horizontal="right" vertical="top"/>
    </xf>
    <xf numFmtId="170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right" vertical="center"/>
    </xf>
    <xf numFmtId="166" fontId="0" fillId="33" borderId="0" xfId="0" applyNumberFormat="1" applyFont="1" applyFill="1" applyBorder="1" applyAlignment="1">
      <alignment horizontal="right" vertical="center"/>
    </xf>
    <xf numFmtId="171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right" vertical="top" wrapText="1"/>
    </xf>
    <xf numFmtId="168" fontId="2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 wrapText="1"/>
    </xf>
    <xf numFmtId="169" fontId="2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6" fontId="2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66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71" fontId="0" fillId="0" borderId="0" xfId="0" applyNumberFormat="1" applyFont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426"/>
  <sheetViews>
    <sheetView tabSelected="1" zoomScalePageLayoutView="0" workbookViewId="0" topLeftCell="A1">
      <selection activeCell="U72" sqref="U72"/>
    </sheetView>
  </sheetViews>
  <sheetFormatPr defaultColWidth="9.140625" defaultRowHeight="10.5"/>
  <cols>
    <col min="1" max="1" width="4.140625" style="1" customWidth="1"/>
    <col min="2" max="2" width="47.8515625" style="1" customWidth="1"/>
    <col min="3" max="3" width="9.42187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22" width="9.140625" style="1" customWidth="1"/>
    <col min="23" max="24" width="90.7109375" style="1" hidden="1" customWidth="1"/>
    <col min="25" max="25" width="100.7109375" style="1" hidden="1" customWidth="1"/>
    <col min="26" max="16384" width="9.140625" style="1" customWidth="1"/>
  </cols>
  <sheetData>
    <row r="1" spans="1:10" ht="10.5">
      <c r="A1" s="2" t="s">
        <v>0</v>
      </c>
      <c r="D1" s="2" t="s">
        <v>1</v>
      </c>
      <c r="J1" s="3" t="s">
        <v>2</v>
      </c>
    </row>
    <row r="3" spans="2:23" ht="21">
      <c r="B3" s="4" t="s">
        <v>3</v>
      </c>
      <c r="C3" s="52" t="s">
        <v>372</v>
      </c>
      <c r="D3" s="43"/>
      <c r="E3" s="43"/>
      <c r="F3" s="43"/>
      <c r="G3" s="43"/>
      <c r="H3" s="43"/>
      <c r="I3" s="43"/>
      <c r="J3" s="43"/>
      <c r="W3" s="6" t="s">
        <v>4</v>
      </c>
    </row>
    <row r="4" spans="2:24" ht="21">
      <c r="B4" s="4" t="s">
        <v>5</v>
      </c>
      <c r="C4" s="52" t="s">
        <v>372</v>
      </c>
      <c r="D4" s="43"/>
      <c r="E4" s="43"/>
      <c r="F4" s="43"/>
      <c r="G4" s="43"/>
      <c r="H4" s="43"/>
      <c r="I4" s="43"/>
      <c r="J4" s="43"/>
      <c r="X4" s="6" t="s">
        <v>4</v>
      </c>
    </row>
    <row r="5" spans="1:25" ht="10.5">
      <c r="A5" s="53" t="s">
        <v>6</v>
      </c>
      <c r="B5" s="53"/>
      <c r="C5" s="53"/>
      <c r="D5" s="53"/>
      <c r="E5" s="53"/>
      <c r="F5" s="53"/>
      <c r="G5" s="53"/>
      <c r="H5" s="53"/>
      <c r="I5" s="53"/>
      <c r="J5" s="53"/>
      <c r="Y5" s="6" t="s">
        <v>6</v>
      </c>
    </row>
    <row r="6" spans="1:25" ht="10.5">
      <c r="A6" s="54" t="s">
        <v>7</v>
      </c>
      <c r="B6" s="54"/>
      <c r="C6" s="54"/>
      <c r="D6" s="54"/>
      <c r="E6" s="54"/>
      <c r="F6" s="54"/>
      <c r="G6" s="54"/>
      <c r="H6" s="54"/>
      <c r="I6" s="54"/>
      <c r="J6" s="54"/>
      <c r="Y6" s="6" t="s">
        <v>7</v>
      </c>
    </row>
    <row r="7" spans="1:25" ht="21">
      <c r="A7" s="55" t="s">
        <v>373</v>
      </c>
      <c r="B7" s="54"/>
      <c r="C7" s="54"/>
      <c r="D7" s="54"/>
      <c r="E7" s="54"/>
      <c r="F7" s="54"/>
      <c r="G7" s="54"/>
      <c r="H7" s="54"/>
      <c r="I7" s="54"/>
      <c r="J7" s="54"/>
      <c r="Y7" s="6" t="s">
        <v>8</v>
      </c>
    </row>
    <row r="8" spans="7:10" ht="10.5">
      <c r="G8" s="4" t="s">
        <v>9</v>
      </c>
      <c r="H8" s="58">
        <v>287133.54</v>
      </c>
      <c r="I8" s="58"/>
      <c r="J8" s="8" t="s">
        <v>10</v>
      </c>
    </row>
    <row r="9" spans="1:10" ht="10.5">
      <c r="A9" s="56" t="s">
        <v>11</v>
      </c>
      <c r="B9" s="57"/>
      <c r="C9" s="57"/>
      <c r="D9" s="57"/>
      <c r="E9" s="57"/>
      <c r="F9" s="57"/>
      <c r="G9" s="57"/>
      <c r="H9" s="57"/>
      <c r="I9" s="57"/>
      <c r="J9" s="57"/>
    </row>
    <row r="10" ht="4.5" customHeight="1"/>
    <row r="11" spans="1:10" ht="21.75" customHeight="1">
      <c r="A11" s="48" t="s">
        <v>12</v>
      </c>
      <c r="B11" s="48" t="s">
        <v>13</v>
      </c>
      <c r="C11" s="48" t="s">
        <v>14</v>
      </c>
      <c r="D11" s="46" t="s">
        <v>15</v>
      </c>
      <c r="E11" s="47"/>
      <c r="F11" s="46" t="s">
        <v>16</v>
      </c>
      <c r="G11" s="51"/>
      <c r="H11" s="47"/>
      <c r="I11" s="46" t="s">
        <v>17</v>
      </c>
      <c r="J11" s="47"/>
    </row>
    <row r="12" spans="1:10" ht="10.5" customHeight="1">
      <c r="A12" s="49"/>
      <c r="B12" s="49"/>
      <c r="C12" s="49"/>
      <c r="D12" s="10" t="s">
        <v>18</v>
      </c>
      <c r="E12" s="10" t="s">
        <v>19</v>
      </c>
      <c r="F12" s="48" t="s">
        <v>18</v>
      </c>
      <c r="G12" s="48" t="s">
        <v>20</v>
      </c>
      <c r="H12" s="10" t="s">
        <v>19</v>
      </c>
      <c r="I12" s="46" t="s">
        <v>21</v>
      </c>
      <c r="J12" s="47"/>
    </row>
    <row r="13" spans="1:10" ht="21.75" customHeight="1">
      <c r="A13" s="50"/>
      <c r="B13" s="50"/>
      <c r="C13" s="50"/>
      <c r="D13" s="10" t="s">
        <v>20</v>
      </c>
      <c r="E13" s="10" t="s">
        <v>22</v>
      </c>
      <c r="F13" s="50"/>
      <c r="G13" s="50"/>
      <c r="H13" s="10" t="s">
        <v>22</v>
      </c>
      <c r="I13" s="10" t="s">
        <v>23</v>
      </c>
      <c r="J13" s="10" t="s">
        <v>18</v>
      </c>
    </row>
    <row r="14" spans="1:10" ht="10.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</row>
    <row r="15" spans="1:14" ht="10.5">
      <c r="A15" s="42" t="s">
        <v>24</v>
      </c>
      <c r="B15" s="43" t="s">
        <v>25</v>
      </c>
      <c r="C15" s="40">
        <v>0.0816</v>
      </c>
      <c r="D15" s="12">
        <f>'Текущие цены за единицу'!B6</f>
        <v>30398.22</v>
      </c>
      <c r="E15" s="12">
        <f>'Текущие цены за единицу'!D6</f>
        <v>0</v>
      </c>
      <c r="F15" s="44">
        <f>'Текущие цены с учетом расхода'!B6</f>
        <v>2480.49</v>
      </c>
      <c r="G15" s="44">
        <f>'Текущие цены с учетом расхода'!C6</f>
        <v>2480.49</v>
      </c>
      <c r="H15" s="12">
        <f>'Текущие цены с учетом расхода'!D6</f>
        <v>0</v>
      </c>
      <c r="I15" s="14">
        <v>123</v>
      </c>
      <c r="J15" s="14">
        <f>'Текущие цены с учетом расхода'!I6</f>
        <v>10.0368</v>
      </c>
      <c r="K15" s="1" t="s">
        <v>26</v>
      </c>
      <c r="L15" s="1" t="s">
        <v>27</v>
      </c>
      <c r="N15" s="44">
        <f>'Текущие цены с учетом расхода'!F6</f>
        <v>0</v>
      </c>
    </row>
    <row r="16" spans="1:14" ht="33" customHeight="1">
      <c r="A16" s="40"/>
      <c r="B16" s="40"/>
      <c r="C16" s="40"/>
      <c r="D16" s="13">
        <f>'Текущие цены за единицу'!C6</f>
        <v>30398.22</v>
      </c>
      <c r="E16" s="13">
        <f>'Текущие цены за единицу'!E6</f>
        <v>0</v>
      </c>
      <c r="F16" s="44"/>
      <c r="G16" s="44"/>
      <c r="H16" s="13">
        <f>'Текущие цены с учетом расхода'!E6</f>
        <v>0</v>
      </c>
      <c r="J16" s="1">
        <f>'Текущие цены с учетом расхода'!K6</f>
        <v>0</v>
      </c>
      <c r="K16" s="1" t="s">
        <v>28</v>
      </c>
      <c r="L16" s="1" t="s">
        <v>29</v>
      </c>
      <c r="N16" s="44"/>
    </row>
    <row r="17" ht="10.5">
      <c r="B17" s="15" t="str">
        <f>IF(ROUND(((6.8*2)*6)/1000,9)=C15,"Объем: (6,8*2)*6","")</f>
        <v>Объем: (6,8*2)*6</v>
      </c>
    </row>
    <row r="18" spans="2:6" ht="10.5" hidden="1">
      <c r="B18" s="16" t="s">
        <v>30</v>
      </c>
      <c r="F18" s="1">
        <v>2480.49</v>
      </c>
    </row>
    <row r="19" ht="10.5" hidden="1">
      <c r="B19" s="16" t="s">
        <v>31</v>
      </c>
    </row>
    <row r="20" ht="10.5" hidden="1">
      <c r="B20" s="16" t="s">
        <v>32</v>
      </c>
    </row>
    <row r="21" ht="10.5" hidden="1">
      <c r="B21" s="16" t="s">
        <v>33</v>
      </c>
    </row>
    <row r="22" ht="21" hidden="1">
      <c r="B22" s="16" t="s">
        <v>34</v>
      </c>
    </row>
    <row r="23" spans="2:12" ht="21" hidden="1">
      <c r="B23" s="16" t="s">
        <v>35</v>
      </c>
      <c r="C23" s="17"/>
      <c r="K23" s="1" t="s">
        <v>36</v>
      </c>
      <c r="L23" s="1" t="s">
        <v>37</v>
      </c>
    </row>
    <row r="24" ht="10.5" hidden="1">
      <c r="B24" s="16" t="s">
        <v>38</v>
      </c>
    </row>
    <row r="25" ht="21" hidden="1">
      <c r="B25" s="16" t="s">
        <v>39</v>
      </c>
    </row>
    <row r="26" ht="10.5" hidden="1">
      <c r="B26" s="16" t="s">
        <v>40</v>
      </c>
    </row>
    <row r="27" spans="2:12" ht="10.5" hidden="1">
      <c r="B27" s="16" t="s">
        <v>41</v>
      </c>
      <c r="C27" s="1">
        <v>68</v>
      </c>
      <c r="F27" s="13">
        <f>IF('Текущие цены с учетом расхода'!N6&gt;0,'Текущие цены с учетом расхода'!N6,IF('Текущие цены с учетом расхода'!N6&lt;0,'Текущие цены с учетом расхода'!N6,""))</f>
        <v>1686.73</v>
      </c>
      <c r="L27" s="5" t="s">
        <v>42</v>
      </c>
    </row>
    <row r="28" spans="2:12" ht="10.5" hidden="1">
      <c r="B28" s="16" t="s">
        <v>43</v>
      </c>
      <c r="C28" s="1">
        <v>68</v>
      </c>
      <c r="F28" s="13">
        <f>IF('Текущие цены с учетом расхода'!P6&gt;0,'Текущие цены с учетом расхода'!P6,IF('Текущие цены с учетом расхода'!P6&lt;0,'Текущие цены с учетом расхода'!P6,""))</f>
        <v>1686.74</v>
      </c>
      <c r="L28" s="5" t="s">
        <v>44</v>
      </c>
    </row>
    <row r="29" spans="2:12" ht="10.5" hidden="1">
      <c r="B29" s="16" t="s">
        <v>45</v>
      </c>
      <c r="F29" s="13">
        <f>IF('Текущие цены с учетом расхода'!Q6&gt;0,'Текущие цены с учетом расхода'!Q6,IF('Текущие цены с учетом расхода'!Q6&lt;0,'Текущие цены с учетом расхода'!Q6,""))</f>
      </c>
      <c r="L29" s="5" t="s">
        <v>46</v>
      </c>
    </row>
    <row r="30" spans="2:12" ht="10.5" hidden="1">
      <c r="B30" s="16" t="s">
        <v>47</v>
      </c>
      <c r="C30" s="1">
        <v>36</v>
      </c>
      <c r="F30" s="13">
        <f>IF('Текущие цены с учетом расхода'!O6&gt;0,'Текущие цены с учетом расхода'!O6,IF('Текущие цены с учетом расхода'!O6&lt;0,'Текущие цены с учетом расхода'!O6,""))</f>
        <v>892.98</v>
      </c>
      <c r="L30" s="5" t="s">
        <v>48</v>
      </c>
    </row>
    <row r="31" spans="2:12" ht="10.5" hidden="1">
      <c r="B31" s="16" t="s">
        <v>49</v>
      </c>
      <c r="C31" s="1">
        <v>36</v>
      </c>
      <c r="F31" s="13">
        <f>IF('Текущие цены с учетом расхода'!R6&gt;0,'Текущие цены с учетом расхода'!R6,IF('Текущие цены с учетом расхода'!R6&lt;0,'Текущие цены с учетом расхода'!R6,""))</f>
        <v>892.98</v>
      </c>
      <c r="L31" s="5" t="s">
        <v>50</v>
      </c>
    </row>
    <row r="32" spans="2:12" ht="10.5" hidden="1">
      <c r="B32" s="16" t="s">
        <v>51</v>
      </c>
      <c r="F32" s="13">
        <f>IF('Текущие цены с учетом расхода'!S6&gt;0,'Текущие цены с учетом расхода'!S6,IF('Текущие цены с учетом расхода'!S6&lt;0,'Текущие цены с учетом расхода'!S6,""))</f>
      </c>
      <c r="L32" s="5" t="s">
        <v>52</v>
      </c>
    </row>
    <row r="33" spans="1:10" ht="10.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4" ht="10.5">
      <c r="A34" s="42" t="s">
        <v>53</v>
      </c>
      <c r="B34" s="43" t="s">
        <v>54</v>
      </c>
      <c r="C34" s="40">
        <v>20.808</v>
      </c>
      <c r="D34" s="12">
        <f>'Текущие цены за единицу'!B7</f>
        <v>71.88</v>
      </c>
      <c r="E34" s="12">
        <f>'Текущие цены за единицу'!D7</f>
        <v>71.88</v>
      </c>
      <c r="F34" s="44">
        <f>'Текущие цены с учетом расхода'!B7</f>
        <v>1495.68</v>
      </c>
      <c r="G34" s="44">
        <f>'Текущие цены с учетом расхода'!C7</f>
        <v>0</v>
      </c>
      <c r="H34" s="12">
        <f>'Текущие цены с учетом расхода'!D7</f>
        <v>1495.68</v>
      </c>
      <c r="I34" s="14"/>
      <c r="J34" s="14">
        <f>'Текущие цены с учетом расхода'!I7</f>
        <v>0</v>
      </c>
      <c r="K34" s="1" t="s">
        <v>26</v>
      </c>
      <c r="L34" s="1" t="s">
        <v>27</v>
      </c>
      <c r="N34" s="44">
        <f>'Текущие цены с учетом расхода'!F7</f>
        <v>0</v>
      </c>
    </row>
    <row r="35" spans="1:14" ht="43.5" customHeight="1">
      <c r="A35" s="40"/>
      <c r="B35" s="40"/>
      <c r="C35" s="40"/>
      <c r="D35" s="13">
        <f>'Текущие цены за единицу'!C7</f>
        <v>0</v>
      </c>
      <c r="E35" s="13">
        <f>'Текущие цены за единицу'!E7</f>
        <v>0</v>
      </c>
      <c r="F35" s="44"/>
      <c r="G35" s="44"/>
      <c r="H35" s="13">
        <f>'Текущие цены с учетом расхода'!E7</f>
        <v>0</v>
      </c>
      <c r="J35" s="1">
        <f>'Текущие цены с учетом расхода'!K7</f>
        <v>0</v>
      </c>
      <c r="K35" s="1" t="s">
        <v>28</v>
      </c>
      <c r="L35" s="1" t="s">
        <v>29</v>
      </c>
      <c r="N35" s="44"/>
    </row>
    <row r="36" ht="10.5">
      <c r="B36" s="15" t="str">
        <f>IF(ROUND(((6.8*2*0.15*1.7)*6)/1,9)=C34,"Объем: (6,8*2*0,15*1,7)*6","")</f>
        <v>Объем: (6,8*2*0,15*1,7)*6</v>
      </c>
    </row>
    <row r="37" ht="10.5" hidden="1">
      <c r="B37" s="16" t="s">
        <v>30</v>
      </c>
    </row>
    <row r="38" spans="2:6" ht="10.5" hidden="1">
      <c r="B38" s="16" t="s">
        <v>31</v>
      </c>
      <c r="F38" s="1">
        <v>1495.68</v>
      </c>
    </row>
    <row r="39" ht="10.5" hidden="1">
      <c r="B39" s="16" t="s">
        <v>32</v>
      </c>
    </row>
    <row r="40" ht="10.5" hidden="1">
      <c r="B40" s="16" t="s">
        <v>33</v>
      </c>
    </row>
    <row r="41" ht="21" hidden="1">
      <c r="B41" s="16" t="s">
        <v>34</v>
      </c>
    </row>
    <row r="42" spans="2:12" ht="21" hidden="1">
      <c r="B42" s="16" t="s">
        <v>35</v>
      </c>
      <c r="C42" s="17"/>
      <c r="K42" s="1" t="s">
        <v>36</v>
      </c>
      <c r="L42" s="1" t="s">
        <v>37</v>
      </c>
    </row>
    <row r="43" ht="10.5" hidden="1">
      <c r="B43" s="16" t="s">
        <v>38</v>
      </c>
    </row>
    <row r="44" ht="21" hidden="1">
      <c r="B44" s="16" t="s">
        <v>39</v>
      </c>
    </row>
    <row r="45" ht="10.5" hidden="1">
      <c r="B45" s="16" t="s">
        <v>40</v>
      </c>
    </row>
    <row r="46" spans="2:12" ht="10.5" hidden="1">
      <c r="B46" s="16" t="s">
        <v>55</v>
      </c>
      <c r="F46" s="13">
        <f>IF('Текущие цены с учетом расхода'!AF7&gt;0,'Текущие цены с учетом расхода'!AF7,IF('Текущие цены с учетом расхода'!AF7&lt;0,'Текущие цены с учетом расхода'!AF7,""))</f>
      </c>
      <c r="L46" s="5" t="s">
        <v>42</v>
      </c>
    </row>
    <row r="47" spans="2:12" ht="10.5" hidden="1">
      <c r="B47" s="16" t="s">
        <v>43</v>
      </c>
      <c r="F47" s="13">
        <f>IF('Текущие цены с учетом расхода'!P7&gt;0,'Текущие цены с учетом расхода'!P7,IF('Текущие цены с учетом расхода'!P7&lt;0,'Текущие цены с учетом расхода'!P7,""))</f>
      </c>
      <c r="L47" s="5" t="s">
        <v>44</v>
      </c>
    </row>
    <row r="48" spans="2:12" ht="10.5" hidden="1">
      <c r="B48" s="16" t="s">
        <v>45</v>
      </c>
      <c r="F48" s="13">
        <f>IF('Текущие цены с учетом расхода'!Q7&gt;0,'Текущие цены с учетом расхода'!Q7,IF('Текущие цены с учетом расхода'!Q7&lt;0,'Текущие цены с учетом расхода'!Q7,""))</f>
      </c>
      <c r="L48" s="5" t="s">
        <v>46</v>
      </c>
    </row>
    <row r="49" spans="2:12" ht="10.5" hidden="1">
      <c r="B49" s="16" t="s">
        <v>56</v>
      </c>
      <c r="F49" s="13">
        <f>IF('Текущие цены с учетом расхода'!AG7&gt;0,'Текущие цены с учетом расхода'!AG7,IF('Текущие цены с учетом расхода'!AG7&lt;0,'Текущие цены с учетом расхода'!AG7,""))</f>
      </c>
      <c r="L49" s="5" t="s">
        <v>48</v>
      </c>
    </row>
    <row r="50" spans="2:12" ht="10.5" hidden="1">
      <c r="B50" s="16" t="s">
        <v>49</v>
      </c>
      <c r="F50" s="13">
        <f>IF('Текущие цены с учетом расхода'!R7&gt;0,'Текущие цены с учетом расхода'!R7,IF('Текущие цены с учетом расхода'!R7&lt;0,'Текущие цены с учетом расхода'!R7,""))</f>
      </c>
      <c r="L50" s="5" t="s">
        <v>50</v>
      </c>
    </row>
    <row r="51" spans="2:12" ht="10.5" hidden="1">
      <c r="B51" s="16" t="s">
        <v>51</v>
      </c>
      <c r="F51" s="13">
        <f>IF('Текущие цены с учетом расхода'!S7&gt;0,'Текущие цены с учетом расхода'!S7,IF('Текущие цены с учетом расхода'!S7&lt;0,'Текущие цены с учетом расхода'!S7,""))</f>
      </c>
      <c r="L51" s="5" t="s">
        <v>52</v>
      </c>
    </row>
    <row r="52" spans="1:10" ht="10.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4" ht="10.5">
      <c r="A53" s="42" t="s">
        <v>57</v>
      </c>
      <c r="B53" s="43" t="s">
        <v>58</v>
      </c>
      <c r="C53" s="40">
        <v>20.808</v>
      </c>
      <c r="D53" s="12">
        <f>'Текущие цены за единицу'!B8</f>
        <v>65.49</v>
      </c>
      <c r="E53" s="12">
        <f>'Текущие цены за единицу'!D8</f>
        <v>65.49</v>
      </c>
      <c r="F53" s="44">
        <f>'Текущие цены с учетом расхода'!B8</f>
        <v>1362.72</v>
      </c>
      <c r="G53" s="44">
        <f>'Текущие цены с учетом расхода'!C8</f>
        <v>0</v>
      </c>
      <c r="H53" s="12">
        <f>'Текущие цены с учетом расхода'!D8</f>
        <v>1362.72</v>
      </c>
      <c r="I53" s="14"/>
      <c r="J53" s="14">
        <f>'Текущие цены с учетом расхода'!I8</f>
        <v>0</v>
      </c>
      <c r="K53" s="1" t="s">
        <v>26</v>
      </c>
      <c r="L53" s="1" t="s">
        <v>27</v>
      </c>
      <c r="N53" s="44">
        <f>'Текущие цены с учетом расхода'!F8</f>
        <v>0</v>
      </c>
    </row>
    <row r="54" spans="1:14" ht="54.75" customHeight="1">
      <c r="A54" s="40"/>
      <c r="B54" s="40"/>
      <c r="C54" s="40"/>
      <c r="D54" s="13">
        <f>'Текущие цены за единицу'!C8</f>
        <v>0</v>
      </c>
      <c r="E54" s="13">
        <f>'Текущие цены за единицу'!E8</f>
        <v>0</v>
      </c>
      <c r="F54" s="44"/>
      <c r="G54" s="44"/>
      <c r="H54" s="13">
        <f>'Текущие цены с учетом расхода'!E8</f>
        <v>0</v>
      </c>
      <c r="J54" s="1">
        <f>'Текущие цены с учетом расхода'!K8</f>
        <v>0</v>
      </c>
      <c r="K54" s="1" t="s">
        <v>28</v>
      </c>
      <c r="L54" s="1" t="s">
        <v>29</v>
      </c>
      <c r="N54" s="44"/>
    </row>
    <row r="55" ht="10.5">
      <c r="B55" s="15" t="str">
        <f>IF(ROUND((3.468*6)/1,9)=C53,"Объем: 3,468*6","")</f>
        <v>Объем: 3,468*6</v>
      </c>
    </row>
    <row r="56" ht="10.5" hidden="1">
      <c r="B56" s="16" t="s">
        <v>30</v>
      </c>
    </row>
    <row r="57" spans="2:6" ht="10.5" hidden="1">
      <c r="B57" s="16" t="s">
        <v>31</v>
      </c>
      <c r="F57" s="1">
        <v>1362.72</v>
      </c>
    </row>
    <row r="58" ht="10.5" hidden="1">
      <c r="B58" s="16" t="s">
        <v>32</v>
      </c>
    </row>
    <row r="59" ht="10.5" hidden="1">
      <c r="B59" s="16" t="s">
        <v>33</v>
      </c>
    </row>
    <row r="60" ht="21" hidden="1">
      <c r="B60" s="16" t="s">
        <v>34</v>
      </c>
    </row>
    <row r="61" spans="2:12" ht="21" hidden="1">
      <c r="B61" s="16" t="s">
        <v>35</v>
      </c>
      <c r="C61" s="17"/>
      <c r="K61" s="1" t="s">
        <v>36</v>
      </c>
      <c r="L61" s="1" t="s">
        <v>37</v>
      </c>
    </row>
    <row r="62" ht="10.5" hidden="1">
      <c r="B62" s="16" t="s">
        <v>38</v>
      </c>
    </row>
    <row r="63" ht="21" hidden="1">
      <c r="B63" s="16" t="s">
        <v>39</v>
      </c>
    </row>
    <row r="64" ht="10.5" hidden="1">
      <c r="B64" s="16" t="s">
        <v>40</v>
      </c>
    </row>
    <row r="65" spans="2:12" ht="10.5" hidden="1">
      <c r="B65" s="16" t="s">
        <v>55</v>
      </c>
      <c r="F65" s="13">
        <f>IF('Текущие цены с учетом расхода'!AF8&gt;0,'Текущие цены с учетом расхода'!AF8,IF('Текущие цены с учетом расхода'!AF8&lt;0,'Текущие цены с учетом расхода'!AF8,""))</f>
      </c>
      <c r="L65" s="5" t="s">
        <v>42</v>
      </c>
    </row>
    <row r="66" spans="2:12" ht="10.5" hidden="1">
      <c r="B66" s="16" t="s">
        <v>43</v>
      </c>
      <c r="F66" s="13">
        <f>IF('Текущие цены с учетом расхода'!P8&gt;0,'Текущие цены с учетом расхода'!P8,IF('Текущие цены с учетом расхода'!P8&lt;0,'Текущие цены с учетом расхода'!P8,""))</f>
      </c>
      <c r="L66" s="5" t="s">
        <v>44</v>
      </c>
    </row>
    <row r="67" spans="2:12" ht="10.5" hidden="1">
      <c r="B67" s="16" t="s">
        <v>45</v>
      </c>
      <c r="F67" s="13">
        <f>IF('Текущие цены с учетом расхода'!Q8&gt;0,'Текущие цены с учетом расхода'!Q8,IF('Текущие цены с учетом расхода'!Q8&lt;0,'Текущие цены с учетом расхода'!Q8,""))</f>
      </c>
      <c r="L67" s="5" t="s">
        <v>46</v>
      </c>
    </row>
    <row r="68" spans="2:12" ht="10.5" hidden="1">
      <c r="B68" s="16" t="s">
        <v>56</v>
      </c>
      <c r="F68" s="13">
        <f>IF('Текущие цены с учетом расхода'!AG8&gt;0,'Текущие цены с учетом расхода'!AG8,IF('Текущие цены с учетом расхода'!AG8&lt;0,'Текущие цены с учетом расхода'!AG8,""))</f>
      </c>
      <c r="L68" s="5" t="s">
        <v>48</v>
      </c>
    </row>
    <row r="69" spans="2:12" ht="10.5" hidden="1">
      <c r="B69" s="16" t="s">
        <v>49</v>
      </c>
      <c r="F69" s="13">
        <f>IF('Текущие цены с учетом расхода'!R8&gt;0,'Текущие цены с учетом расхода'!R8,IF('Текущие цены с учетом расхода'!R8&lt;0,'Текущие цены с учетом расхода'!R8,""))</f>
      </c>
      <c r="L69" s="5" t="s">
        <v>50</v>
      </c>
    </row>
    <row r="70" spans="2:12" ht="10.5" hidden="1">
      <c r="B70" s="16" t="s">
        <v>51</v>
      </c>
      <c r="F70" s="13">
        <f>IF('Текущие цены с учетом расхода'!S8&gt;0,'Текущие цены с учетом расхода'!S8,IF('Текущие цены с учетом расхода'!S8&lt;0,'Текущие цены с учетом расхода'!S8,""))</f>
      </c>
      <c r="L70" s="5" t="s">
        <v>52</v>
      </c>
    </row>
    <row r="71" spans="1:10" ht="10.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4" ht="10.5">
      <c r="A72" s="42" t="s">
        <v>59</v>
      </c>
      <c r="B72" s="43" t="s">
        <v>60</v>
      </c>
      <c r="C72" s="40">
        <v>0.096</v>
      </c>
      <c r="D72" s="12">
        <f>'Текущие цены за единицу'!B9</f>
        <v>31960.69</v>
      </c>
      <c r="E72" s="12">
        <f>'Текущие цены за единицу'!D9</f>
        <v>28424.51</v>
      </c>
      <c r="F72" s="44">
        <f>'Текущие цены с учетом расхода'!B9</f>
        <v>3068.23</v>
      </c>
      <c r="G72" s="44">
        <f>'Текущие цены с учетом расхода'!C9</f>
        <v>320.76</v>
      </c>
      <c r="H72" s="12">
        <f>'Текущие цены с учетом расхода'!D9</f>
        <v>2728.75</v>
      </c>
      <c r="I72" s="14">
        <v>14.4</v>
      </c>
      <c r="J72" s="14">
        <f>'Текущие цены с учетом расхода'!I9</f>
        <v>1.3824</v>
      </c>
      <c r="K72" s="1" t="s">
        <v>26</v>
      </c>
      <c r="L72" s="1" t="s">
        <v>27</v>
      </c>
      <c r="N72" s="44">
        <f>'Текущие цены с учетом расхода'!F9</f>
        <v>18.72</v>
      </c>
    </row>
    <row r="73" spans="1:14" ht="43.5" customHeight="1">
      <c r="A73" s="40"/>
      <c r="B73" s="40"/>
      <c r="C73" s="40"/>
      <c r="D73" s="13">
        <f>'Текущие цены за единицу'!C9</f>
        <v>3341.23</v>
      </c>
      <c r="E73" s="13">
        <f>'Текущие цены за единицу'!E9</f>
        <v>5170.02</v>
      </c>
      <c r="F73" s="44"/>
      <c r="G73" s="44"/>
      <c r="H73" s="13">
        <f>'Текущие цены с учетом расхода'!E9</f>
        <v>496.32</v>
      </c>
      <c r="I73" s="1">
        <v>13.88</v>
      </c>
      <c r="J73" s="1">
        <f>'Текущие цены с учетом расхода'!K9</f>
        <v>1.33248</v>
      </c>
      <c r="K73" s="1" t="s">
        <v>28</v>
      </c>
      <c r="L73" s="1" t="s">
        <v>29</v>
      </c>
      <c r="N73" s="44"/>
    </row>
    <row r="74" ht="10.5">
      <c r="B74" s="15" t="str">
        <f>IF(ROUND((1.6*6)/100,9)=C72,"Объем: 1,6*6","")</f>
        <v>Объем: 1,6*6</v>
      </c>
    </row>
    <row r="75" spans="2:6" ht="10.5" hidden="1">
      <c r="B75" s="16" t="s">
        <v>30</v>
      </c>
      <c r="F75" s="1">
        <v>320.76</v>
      </c>
    </row>
    <row r="76" spans="2:6" ht="10.5" hidden="1">
      <c r="B76" s="16" t="s">
        <v>31</v>
      </c>
      <c r="F76" s="1">
        <v>2728.75</v>
      </c>
    </row>
    <row r="77" spans="2:6" ht="10.5" hidden="1">
      <c r="B77" s="16" t="s">
        <v>32</v>
      </c>
      <c r="F77" s="1">
        <v>496.32</v>
      </c>
    </row>
    <row r="78" spans="2:6" ht="10.5" hidden="1">
      <c r="B78" s="16" t="s">
        <v>33</v>
      </c>
      <c r="F78" s="1">
        <v>18.72</v>
      </c>
    </row>
    <row r="79" ht="21" hidden="1">
      <c r="B79" s="16" t="s">
        <v>34</v>
      </c>
    </row>
    <row r="80" spans="2:12" ht="21" hidden="1">
      <c r="B80" s="16" t="s">
        <v>35</v>
      </c>
      <c r="C80" s="17"/>
      <c r="K80" s="1" t="s">
        <v>36</v>
      </c>
      <c r="L80" s="1" t="s">
        <v>37</v>
      </c>
    </row>
    <row r="81" ht="10.5" hidden="1">
      <c r="B81" s="16" t="s">
        <v>38</v>
      </c>
    </row>
    <row r="82" ht="21" hidden="1">
      <c r="B82" s="16" t="s">
        <v>39</v>
      </c>
    </row>
    <row r="83" ht="10.5" hidden="1">
      <c r="B83" s="16" t="s">
        <v>40</v>
      </c>
    </row>
    <row r="84" spans="2:12" ht="10.5" hidden="1">
      <c r="B84" s="16" t="s">
        <v>41</v>
      </c>
      <c r="C84" s="1">
        <v>120.7</v>
      </c>
      <c r="F84" s="13">
        <f>IF('Текущие цены с учетом расхода'!N9&gt;0,'Текущие цены с учетом расхода'!N9,IF('Текущие цены с учетом расхода'!N9&lt;0,'Текущие цены с учетом расхода'!N9,""))</f>
        <v>986.22</v>
      </c>
      <c r="L84" s="5" t="s">
        <v>42</v>
      </c>
    </row>
    <row r="85" spans="2:12" ht="10.5" hidden="1">
      <c r="B85" s="16" t="s">
        <v>43</v>
      </c>
      <c r="C85" s="1">
        <v>120.7</v>
      </c>
      <c r="F85" s="13">
        <f>IF('Текущие цены с учетом расхода'!P9&gt;0,'Текущие цены с учетом расхода'!P9,IF('Текущие цены с учетом расхода'!P9&lt;0,'Текущие цены с учетом расхода'!P9,""))</f>
        <v>387.16</v>
      </c>
      <c r="L85" s="5" t="s">
        <v>44</v>
      </c>
    </row>
    <row r="86" spans="2:12" ht="10.5" hidden="1">
      <c r="B86" s="16" t="s">
        <v>45</v>
      </c>
      <c r="C86" s="1">
        <v>120.7</v>
      </c>
      <c r="F86" s="13">
        <f>IF('Текущие цены с учетом расхода'!Q9&gt;0,'Текущие цены с учетом расхода'!Q9,IF('Текущие цены с учетом расхода'!Q9&lt;0,'Текущие цены с учетом расхода'!Q9,""))</f>
        <v>599.06</v>
      </c>
      <c r="L86" s="5" t="s">
        <v>46</v>
      </c>
    </row>
    <row r="87" spans="2:12" ht="10.5" hidden="1">
      <c r="B87" s="16" t="s">
        <v>47</v>
      </c>
      <c r="C87" s="1">
        <v>76</v>
      </c>
      <c r="F87" s="13">
        <f>IF('Текущие цены с учетом расхода'!O9&gt;0,'Текущие цены с учетом расхода'!O9,IF('Текущие цены с учетом расхода'!O9&lt;0,'Текущие цены с учетом расхода'!O9,""))</f>
        <v>620.98</v>
      </c>
      <c r="L87" s="5" t="s">
        <v>48</v>
      </c>
    </row>
    <row r="88" spans="2:12" ht="10.5" hidden="1">
      <c r="B88" s="16" t="s">
        <v>49</v>
      </c>
      <c r="C88" s="1">
        <v>76</v>
      </c>
      <c r="F88" s="13">
        <f>IF('Текущие цены с учетом расхода'!R9&gt;0,'Текущие цены с учетом расхода'!R9,IF('Текущие цены с учетом расхода'!R9&lt;0,'Текущие цены с учетом расхода'!R9,""))</f>
        <v>243.78</v>
      </c>
      <c r="L88" s="5" t="s">
        <v>50</v>
      </c>
    </row>
    <row r="89" spans="2:12" ht="10.5" hidden="1">
      <c r="B89" s="16" t="s">
        <v>51</v>
      </c>
      <c r="C89" s="1">
        <v>76</v>
      </c>
      <c r="F89" s="13">
        <f>IF('Текущие цены с учетом расхода'!S9&gt;0,'Текущие цены с учетом расхода'!S9,IF('Текущие цены с учетом расхода'!S9&lt;0,'Текущие цены с учетом расхода'!S9,""))</f>
        <v>377.2</v>
      </c>
      <c r="L89" s="5" t="s">
        <v>52</v>
      </c>
    </row>
    <row r="90" spans="1:10" ht="10.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4" ht="10.5">
      <c r="A91" s="42" t="s">
        <v>61</v>
      </c>
      <c r="B91" s="43" t="s">
        <v>62</v>
      </c>
      <c r="C91" s="40">
        <f>ROUND(C72*115,9)</f>
        <v>11.04</v>
      </c>
      <c r="D91" s="12">
        <f>'Текущие цены за единицу'!B10</f>
        <v>855.36</v>
      </c>
      <c r="E91" s="12">
        <f>'Текущие цены за единицу'!D10</f>
        <v>0</v>
      </c>
      <c r="F91" s="44">
        <f>'Текущие цены с учетом расхода'!B10</f>
        <v>9443.17</v>
      </c>
      <c r="G91" s="44">
        <f>'Текущие цены с учетом расхода'!C10</f>
        <v>0</v>
      </c>
      <c r="H91" s="12">
        <f>'Текущие цены с учетом расхода'!D10</f>
        <v>0</v>
      </c>
      <c r="I91" s="14"/>
      <c r="J91" s="14">
        <f>'Текущие цены с учетом расхода'!I10</f>
        <v>0</v>
      </c>
      <c r="K91" s="1" t="s">
        <v>26</v>
      </c>
      <c r="L91" s="1" t="s">
        <v>27</v>
      </c>
      <c r="N91" s="44">
        <f>'Текущие цены с учетом расхода'!F10</f>
        <v>9443.17</v>
      </c>
    </row>
    <row r="92" spans="1:14" ht="43.5" customHeight="1">
      <c r="A92" s="40"/>
      <c r="B92" s="40"/>
      <c r="C92" s="40"/>
      <c r="D92" s="13">
        <f>'Текущие цены за единицу'!C10</f>
        <v>0</v>
      </c>
      <c r="E92" s="13">
        <f>'Текущие цены за единицу'!E10</f>
        <v>0</v>
      </c>
      <c r="F92" s="44"/>
      <c r="G92" s="44"/>
      <c r="H92" s="13">
        <f>'Текущие цены с учетом расхода'!E10</f>
        <v>0</v>
      </c>
      <c r="J92" s="1">
        <f>'Текущие цены с учетом расхода'!K10</f>
        <v>0</v>
      </c>
      <c r="K92" s="1" t="s">
        <v>28</v>
      </c>
      <c r="L92" s="1" t="s">
        <v>29</v>
      </c>
      <c r="N92" s="44"/>
    </row>
    <row r="93" ht="10.5">
      <c r="B93" s="15" t="str">
        <f>CONCATENATE("Объем: ",C72,"*115,0")</f>
        <v>Объем: 0,096*115,0</v>
      </c>
    </row>
    <row r="94" ht="10.5" hidden="1">
      <c r="B94" s="16" t="s">
        <v>30</v>
      </c>
    </row>
    <row r="95" ht="10.5" hidden="1">
      <c r="B95" s="16" t="s">
        <v>31</v>
      </c>
    </row>
    <row r="96" ht="10.5" hidden="1">
      <c r="B96" s="16" t="s">
        <v>32</v>
      </c>
    </row>
    <row r="97" spans="2:6" ht="10.5" hidden="1">
      <c r="B97" s="16" t="s">
        <v>33</v>
      </c>
      <c r="F97" s="1">
        <v>9443.17</v>
      </c>
    </row>
    <row r="98" ht="21" hidden="1">
      <c r="B98" s="16" t="s">
        <v>34</v>
      </c>
    </row>
    <row r="99" spans="2:12" ht="21" hidden="1">
      <c r="B99" s="16" t="s">
        <v>35</v>
      </c>
      <c r="C99" s="17"/>
      <c r="K99" s="1" t="s">
        <v>36</v>
      </c>
      <c r="L99" s="1" t="s">
        <v>37</v>
      </c>
    </row>
    <row r="100" ht="10.5" hidden="1">
      <c r="B100" s="16" t="s">
        <v>38</v>
      </c>
    </row>
    <row r="101" ht="21" hidden="1">
      <c r="B101" s="16" t="s">
        <v>39</v>
      </c>
    </row>
    <row r="102" ht="10.5" hidden="1">
      <c r="B102" s="16" t="s">
        <v>40</v>
      </c>
    </row>
    <row r="103" spans="2:12" ht="10.5" hidden="1">
      <c r="B103" s="16" t="s">
        <v>41</v>
      </c>
      <c r="F103" s="13">
        <f>IF('Текущие цены с учетом расхода'!N10&gt;0,'Текущие цены с учетом расхода'!N10,IF('Текущие цены с учетом расхода'!N10&lt;0,'Текущие цены с учетом расхода'!N10,""))</f>
      </c>
      <c r="L103" s="5" t="s">
        <v>42</v>
      </c>
    </row>
    <row r="104" spans="2:12" ht="10.5" hidden="1">
      <c r="B104" s="16" t="s">
        <v>43</v>
      </c>
      <c r="F104" s="13">
        <f>IF('Текущие цены с учетом расхода'!P10&gt;0,'Текущие цены с учетом расхода'!P10,IF('Текущие цены с учетом расхода'!P10&lt;0,'Текущие цены с учетом расхода'!P10,""))</f>
      </c>
      <c r="L104" s="5" t="s">
        <v>44</v>
      </c>
    </row>
    <row r="105" spans="2:12" ht="10.5" hidden="1">
      <c r="B105" s="16" t="s">
        <v>45</v>
      </c>
      <c r="F105" s="13">
        <f>IF('Текущие цены с учетом расхода'!Q10&gt;0,'Текущие цены с учетом расхода'!Q10,IF('Текущие цены с учетом расхода'!Q10&lt;0,'Текущие цены с учетом расхода'!Q10,""))</f>
      </c>
      <c r="L105" s="5" t="s">
        <v>46</v>
      </c>
    </row>
    <row r="106" spans="2:12" ht="10.5" hidden="1">
      <c r="B106" s="16" t="s">
        <v>47</v>
      </c>
      <c r="F106" s="13">
        <f>IF('Текущие цены с учетом расхода'!O10&gt;0,'Текущие цены с учетом расхода'!O10,IF('Текущие цены с учетом расхода'!O10&lt;0,'Текущие цены с учетом расхода'!O10,""))</f>
      </c>
      <c r="L106" s="5" t="s">
        <v>48</v>
      </c>
    </row>
    <row r="107" spans="2:12" ht="10.5" hidden="1">
      <c r="B107" s="16" t="s">
        <v>49</v>
      </c>
      <c r="F107" s="13">
        <f>IF('Текущие цены с учетом расхода'!R10&gt;0,'Текущие цены с учетом расхода'!R10,IF('Текущие цены с учетом расхода'!R10&lt;0,'Текущие цены с учетом расхода'!R10,""))</f>
      </c>
      <c r="L107" s="5" t="s">
        <v>50</v>
      </c>
    </row>
    <row r="108" spans="2:12" ht="10.5" hidden="1">
      <c r="B108" s="16" t="s">
        <v>51</v>
      </c>
      <c r="F108" s="13">
        <f>IF('Текущие цены с учетом расхода'!S10&gt;0,'Текущие цены с учетом расхода'!S10,IF('Текущие цены с учетом расхода'!S10&lt;0,'Текущие цены с учетом расхода'!S10,""))</f>
      </c>
      <c r="L108" s="5" t="s">
        <v>52</v>
      </c>
    </row>
    <row r="109" spans="1:10" ht="10.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4" ht="10.5">
      <c r="A110" s="42" t="s">
        <v>63</v>
      </c>
      <c r="B110" s="43" t="s">
        <v>64</v>
      </c>
      <c r="C110" s="40">
        <v>0.036</v>
      </c>
      <c r="D110" s="12">
        <f>'Текущие цены за единицу'!B11</f>
        <v>47505.04</v>
      </c>
      <c r="E110" s="12">
        <f>'Текущие цены за единицу'!D11</f>
        <v>42220.26</v>
      </c>
      <c r="F110" s="44">
        <f>'Текущие цены с учетом расхода'!B11</f>
        <v>1710.19</v>
      </c>
      <c r="G110" s="44">
        <f>'Текущие цены с учетом расхода'!C11</f>
        <v>180.43</v>
      </c>
      <c r="H110" s="12">
        <f>'Текущие цены с учетом расхода'!D11</f>
        <v>1519.93</v>
      </c>
      <c r="I110" s="14">
        <v>21.6</v>
      </c>
      <c r="J110" s="14">
        <f>'Текущие цены с учетом расхода'!I11</f>
        <v>0.7776</v>
      </c>
      <c r="K110" s="1" t="s">
        <v>26</v>
      </c>
      <c r="L110" s="1" t="s">
        <v>27</v>
      </c>
      <c r="N110" s="44">
        <f>'Текущие цены с учетом расхода'!F11</f>
        <v>9.83</v>
      </c>
    </row>
    <row r="111" spans="1:14" ht="43.5" customHeight="1">
      <c r="A111" s="40"/>
      <c r="B111" s="40"/>
      <c r="C111" s="40"/>
      <c r="D111" s="13">
        <f>'Текущие цены за единицу'!C11</f>
        <v>5011.85</v>
      </c>
      <c r="E111" s="13">
        <f>'Текущие цены за единицу'!E11</f>
        <v>6708.36</v>
      </c>
      <c r="F111" s="44"/>
      <c r="G111" s="44"/>
      <c r="H111" s="13">
        <f>'Текущие цены с учетом расхода'!E11</f>
        <v>241.5</v>
      </c>
      <c r="I111" s="1">
        <v>20.6</v>
      </c>
      <c r="J111" s="1">
        <f>'Текущие цены с учетом расхода'!K11</f>
        <v>0.7416</v>
      </c>
      <c r="K111" s="1" t="s">
        <v>28</v>
      </c>
      <c r="L111" s="1" t="s">
        <v>29</v>
      </c>
      <c r="N111" s="44"/>
    </row>
    <row r="112" ht="10.5">
      <c r="B112" s="15" t="str">
        <f>IF(ROUND((0.6*6)/100,9)=C110,"Объем: 0,6*6","")</f>
        <v>Объем: 0,6*6</v>
      </c>
    </row>
    <row r="113" spans="2:6" ht="10.5" hidden="1">
      <c r="B113" s="16" t="s">
        <v>30</v>
      </c>
      <c r="F113" s="1">
        <v>180.43</v>
      </c>
    </row>
    <row r="114" spans="2:6" ht="10.5" hidden="1">
      <c r="B114" s="16" t="s">
        <v>31</v>
      </c>
      <c r="F114" s="1">
        <v>1519.93</v>
      </c>
    </row>
    <row r="115" spans="2:6" ht="10.5" hidden="1">
      <c r="B115" s="16" t="s">
        <v>32</v>
      </c>
      <c r="F115" s="1">
        <v>241.5</v>
      </c>
    </row>
    <row r="116" spans="2:6" ht="10.5" hidden="1">
      <c r="B116" s="16" t="s">
        <v>33</v>
      </c>
      <c r="F116" s="1">
        <v>9.83</v>
      </c>
    </row>
    <row r="117" ht="21" hidden="1">
      <c r="B117" s="16" t="s">
        <v>34</v>
      </c>
    </row>
    <row r="118" spans="2:12" ht="21" hidden="1">
      <c r="B118" s="16" t="s">
        <v>35</v>
      </c>
      <c r="C118" s="17"/>
      <c r="K118" s="1" t="s">
        <v>36</v>
      </c>
      <c r="L118" s="1" t="s">
        <v>37</v>
      </c>
    </row>
    <row r="119" ht="10.5" hidden="1">
      <c r="B119" s="16" t="s">
        <v>38</v>
      </c>
    </row>
    <row r="120" ht="21" hidden="1">
      <c r="B120" s="16" t="s">
        <v>39</v>
      </c>
    </row>
    <row r="121" ht="10.5" hidden="1">
      <c r="B121" s="16" t="s">
        <v>40</v>
      </c>
    </row>
    <row r="122" spans="2:12" ht="10.5" hidden="1">
      <c r="B122" s="16" t="s">
        <v>41</v>
      </c>
      <c r="C122" s="1">
        <v>120.7</v>
      </c>
      <c r="F122" s="13">
        <f>IF('Текущие цены с учетом расхода'!N11&gt;0,'Текущие цены с учетом расхода'!N11,IF('Текущие цены с учетом расхода'!N11&lt;0,'Текущие цены с учетом расхода'!N11,""))</f>
        <v>509.27</v>
      </c>
      <c r="L122" s="5" t="s">
        <v>42</v>
      </c>
    </row>
    <row r="123" spans="2:12" ht="10.5" hidden="1">
      <c r="B123" s="16" t="s">
        <v>43</v>
      </c>
      <c r="C123" s="1">
        <v>120.7</v>
      </c>
      <c r="F123" s="13">
        <f>IF('Текущие цены с учетом расхода'!P11&gt;0,'Текущие цены с учетом расхода'!P11,IF('Текущие цены с учетом расхода'!P11&lt;0,'Текущие цены с учетом расхода'!P11,""))</f>
        <v>217.77</v>
      </c>
      <c r="L123" s="5" t="s">
        <v>44</v>
      </c>
    </row>
    <row r="124" spans="2:12" ht="10.5" hidden="1">
      <c r="B124" s="16" t="s">
        <v>45</v>
      </c>
      <c r="C124" s="1">
        <v>120.7</v>
      </c>
      <c r="F124" s="13">
        <f>IF('Текущие цены с учетом расхода'!Q11&gt;0,'Текущие цены с учетом расхода'!Q11,IF('Текущие цены с учетом расхода'!Q11&lt;0,'Текущие цены с учетом расхода'!Q11,""))</f>
        <v>291.49</v>
      </c>
      <c r="L124" s="5" t="s">
        <v>46</v>
      </c>
    </row>
    <row r="125" spans="2:12" ht="10.5" hidden="1">
      <c r="B125" s="16" t="s">
        <v>47</v>
      </c>
      <c r="C125" s="1">
        <v>76</v>
      </c>
      <c r="F125" s="13">
        <f>IF('Текущие цены с учетом расхода'!O11&gt;0,'Текущие цены с учетом расхода'!O11,IF('Текущие цены с учетом расхода'!O11&lt;0,'Текущие цены с учетом расхода'!O11,""))</f>
        <v>320.67</v>
      </c>
      <c r="L125" s="5" t="s">
        <v>48</v>
      </c>
    </row>
    <row r="126" spans="2:12" ht="10.5" hidden="1">
      <c r="B126" s="16" t="s">
        <v>49</v>
      </c>
      <c r="C126" s="1">
        <v>76</v>
      </c>
      <c r="F126" s="13">
        <f>IF('Текущие цены с учетом расхода'!R11&gt;0,'Текущие цены с учетом расхода'!R11,IF('Текущие цены с учетом расхода'!R11&lt;0,'Текущие цены с учетом расхода'!R11,""))</f>
        <v>137.12</v>
      </c>
      <c r="L126" s="5" t="s">
        <v>50</v>
      </c>
    </row>
    <row r="127" spans="2:12" ht="10.5" hidden="1">
      <c r="B127" s="16" t="s">
        <v>51</v>
      </c>
      <c r="C127" s="1">
        <v>76</v>
      </c>
      <c r="F127" s="13">
        <f>IF('Текущие цены с учетом расхода'!S11&gt;0,'Текущие цены с учетом расхода'!S11,IF('Текущие цены с учетом расхода'!S11&lt;0,'Текущие цены с учетом расхода'!S11,""))</f>
        <v>183.54</v>
      </c>
      <c r="L127" s="5" t="s">
        <v>52</v>
      </c>
    </row>
    <row r="128" spans="1:10" ht="10.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4" ht="10.5">
      <c r="A129" s="42" t="s">
        <v>65</v>
      </c>
      <c r="B129" s="43" t="s">
        <v>66</v>
      </c>
      <c r="C129" s="40">
        <f>ROUND(C110*115,9)</f>
        <v>4.14</v>
      </c>
      <c r="D129" s="12">
        <f>'Текущие цены за единицу'!B12</f>
        <v>2038.76</v>
      </c>
      <c r="E129" s="12">
        <f>'Текущие цены за единицу'!D12</f>
        <v>0</v>
      </c>
      <c r="F129" s="44">
        <f>'Текущие цены с учетом расхода'!B12</f>
        <v>8440.47</v>
      </c>
      <c r="G129" s="44">
        <f>'Текущие цены с учетом расхода'!C12</f>
        <v>0</v>
      </c>
      <c r="H129" s="12">
        <f>'Текущие цены с учетом расхода'!D12</f>
        <v>0</v>
      </c>
      <c r="I129" s="14"/>
      <c r="J129" s="14">
        <f>'Текущие цены с учетом расхода'!I12</f>
        <v>0</v>
      </c>
      <c r="K129" s="1" t="s">
        <v>26</v>
      </c>
      <c r="L129" s="1" t="s">
        <v>27</v>
      </c>
      <c r="N129" s="44">
        <f>'Текущие цены с учетом расхода'!F12</f>
        <v>8440.47</v>
      </c>
    </row>
    <row r="130" spans="1:14" ht="43.5" customHeight="1">
      <c r="A130" s="40"/>
      <c r="B130" s="40"/>
      <c r="C130" s="40"/>
      <c r="D130" s="13">
        <f>'Текущие цены за единицу'!C12</f>
        <v>0</v>
      </c>
      <c r="E130" s="13">
        <f>'Текущие цены за единицу'!E12</f>
        <v>0</v>
      </c>
      <c r="F130" s="44"/>
      <c r="G130" s="44"/>
      <c r="H130" s="13">
        <f>'Текущие цены с учетом расхода'!E12</f>
        <v>0</v>
      </c>
      <c r="J130" s="1">
        <f>'Текущие цены с учетом расхода'!K12</f>
        <v>0</v>
      </c>
      <c r="K130" s="1" t="s">
        <v>28</v>
      </c>
      <c r="L130" s="1" t="s">
        <v>29</v>
      </c>
      <c r="N130" s="44"/>
    </row>
    <row r="131" ht="10.5">
      <c r="B131" s="15" t="str">
        <f>CONCATENATE("Объем: ",C110,"*115,0")</f>
        <v>Объем: 0,036*115,0</v>
      </c>
    </row>
    <row r="132" ht="10.5" hidden="1">
      <c r="B132" s="16" t="s">
        <v>30</v>
      </c>
    </row>
    <row r="133" ht="10.5" hidden="1">
      <c r="B133" s="16" t="s">
        <v>31</v>
      </c>
    </row>
    <row r="134" ht="10.5" hidden="1">
      <c r="B134" s="16" t="s">
        <v>32</v>
      </c>
    </row>
    <row r="135" spans="2:6" ht="10.5" hidden="1">
      <c r="B135" s="16" t="s">
        <v>33</v>
      </c>
      <c r="F135" s="1">
        <v>8440.47</v>
      </c>
    </row>
    <row r="136" ht="21" hidden="1">
      <c r="B136" s="16" t="s">
        <v>34</v>
      </c>
    </row>
    <row r="137" spans="2:12" ht="21" hidden="1">
      <c r="B137" s="16" t="s">
        <v>35</v>
      </c>
      <c r="C137" s="17"/>
      <c r="K137" s="1" t="s">
        <v>36</v>
      </c>
      <c r="L137" s="1" t="s">
        <v>37</v>
      </c>
    </row>
    <row r="138" ht="10.5" hidden="1">
      <c r="B138" s="16" t="s">
        <v>38</v>
      </c>
    </row>
    <row r="139" ht="21" hidden="1">
      <c r="B139" s="16" t="s">
        <v>39</v>
      </c>
    </row>
    <row r="140" ht="10.5" hidden="1">
      <c r="B140" s="16" t="s">
        <v>40</v>
      </c>
    </row>
    <row r="141" spans="2:12" ht="10.5" hidden="1">
      <c r="B141" s="16" t="s">
        <v>41</v>
      </c>
      <c r="F141" s="13">
        <f>IF('Текущие цены с учетом расхода'!N12&gt;0,'Текущие цены с учетом расхода'!N12,IF('Текущие цены с учетом расхода'!N12&lt;0,'Текущие цены с учетом расхода'!N12,""))</f>
      </c>
      <c r="L141" s="5" t="s">
        <v>42</v>
      </c>
    </row>
    <row r="142" spans="2:12" ht="10.5" hidden="1">
      <c r="B142" s="16" t="s">
        <v>43</v>
      </c>
      <c r="F142" s="13">
        <f>IF('Текущие цены с учетом расхода'!P12&gt;0,'Текущие цены с учетом расхода'!P12,IF('Текущие цены с учетом расхода'!P12&lt;0,'Текущие цены с учетом расхода'!P12,""))</f>
      </c>
      <c r="L142" s="5" t="s">
        <v>44</v>
      </c>
    </row>
    <row r="143" spans="2:12" ht="10.5" hidden="1">
      <c r="B143" s="16" t="s">
        <v>45</v>
      </c>
      <c r="F143" s="13">
        <f>IF('Текущие цены с учетом расхода'!Q12&gt;0,'Текущие цены с учетом расхода'!Q12,IF('Текущие цены с учетом расхода'!Q12&lt;0,'Текущие цены с учетом расхода'!Q12,""))</f>
      </c>
      <c r="L143" s="5" t="s">
        <v>46</v>
      </c>
    </row>
    <row r="144" spans="2:12" ht="10.5" hidden="1">
      <c r="B144" s="16" t="s">
        <v>47</v>
      </c>
      <c r="F144" s="13">
        <f>IF('Текущие цены с учетом расхода'!O12&gt;0,'Текущие цены с учетом расхода'!O12,IF('Текущие цены с учетом расхода'!O12&lt;0,'Текущие цены с учетом расхода'!O12,""))</f>
      </c>
      <c r="L144" s="5" t="s">
        <v>48</v>
      </c>
    </row>
    <row r="145" spans="2:12" ht="10.5" hidden="1">
      <c r="B145" s="16" t="s">
        <v>49</v>
      </c>
      <c r="F145" s="13">
        <f>IF('Текущие цены с учетом расхода'!R12&gt;0,'Текущие цены с учетом расхода'!R12,IF('Текущие цены с учетом расхода'!R12&lt;0,'Текущие цены с учетом расхода'!R12,""))</f>
      </c>
      <c r="L145" s="5" t="s">
        <v>50</v>
      </c>
    </row>
    <row r="146" spans="2:12" ht="10.5" hidden="1">
      <c r="B146" s="16" t="s">
        <v>51</v>
      </c>
      <c r="F146" s="13">
        <f>IF('Текущие цены с учетом расхода'!S12&gt;0,'Текущие цены с учетом расхода'!S12,IF('Текущие цены с учетом расхода'!S12&lt;0,'Текущие цены с учетом расхода'!S12,""))</f>
      </c>
      <c r="L146" s="5" t="s">
        <v>52</v>
      </c>
    </row>
    <row r="147" spans="1:10" ht="10.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4" ht="10.5">
      <c r="A148" s="42" t="s">
        <v>67</v>
      </c>
      <c r="B148" s="43" t="s">
        <v>68</v>
      </c>
      <c r="C148" s="40">
        <v>0.1008</v>
      </c>
      <c r="D148" s="12">
        <f>'Текущие цены за единицу'!B13</f>
        <v>145922.85</v>
      </c>
      <c r="E148" s="12">
        <f>'Текущие цены за единицу'!D13</f>
        <v>88963.11</v>
      </c>
      <c r="F148" s="44">
        <f>'Текущие цены с учетом расхода'!B13</f>
        <v>14709.02</v>
      </c>
      <c r="G148" s="44">
        <f>'Текущие цены с учетом расхода'!C13</f>
        <v>3320.16</v>
      </c>
      <c r="H148" s="12">
        <f>'Текущие цены с учетом расхода'!D13</f>
        <v>8967.48</v>
      </c>
      <c r="I148" s="14">
        <v>124</v>
      </c>
      <c r="J148" s="14">
        <f>'Текущие цены с учетом расхода'!I13</f>
        <v>12.4992</v>
      </c>
      <c r="K148" s="1" t="s">
        <v>26</v>
      </c>
      <c r="L148" s="1" t="s">
        <v>27</v>
      </c>
      <c r="N148" s="44">
        <f>'Текущие цены с учетом расхода'!F13</f>
        <v>2421.38</v>
      </c>
    </row>
    <row r="149" spans="1:14" ht="54.75" customHeight="1">
      <c r="A149" s="40"/>
      <c r="B149" s="40"/>
      <c r="C149" s="40"/>
      <c r="D149" s="13">
        <f>'Текущие цены за единицу'!C13</f>
        <v>32938.12</v>
      </c>
      <c r="E149" s="13">
        <f>'Текущие цены за единицу'!E13</f>
        <v>13331.06</v>
      </c>
      <c r="F149" s="44"/>
      <c r="G149" s="44"/>
      <c r="H149" s="13">
        <f>'Текущие цены с учетом расхода'!E13</f>
        <v>1343.77</v>
      </c>
      <c r="I149" s="1">
        <v>56.72</v>
      </c>
      <c r="J149" s="1">
        <f>'Текущие цены с учетом расхода'!K13</f>
        <v>5.717376</v>
      </c>
      <c r="K149" s="1" t="s">
        <v>28</v>
      </c>
      <c r="L149" s="1" t="s">
        <v>29</v>
      </c>
      <c r="N149" s="44"/>
    </row>
    <row r="150" ht="10.5">
      <c r="B150" s="15" t="str">
        <f>IF(ROUND((1*1.68*6)/100,9)=C148,"Объем: 1*1,68*6","")</f>
        <v>Объем: 1*1,68*6</v>
      </c>
    </row>
    <row r="151" spans="2:6" ht="10.5" hidden="1">
      <c r="B151" s="16" t="s">
        <v>30</v>
      </c>
      <c r="F151" s="1">
        <v>3320.16</v>
      </c>
    </row>
    <row r="152" spans="2:6" ht="10.5" hidden="1">
      <c r="B152" s="16" t="s">
        <v>31</v>
      </c>
      <c r="F152" s="1">
        <v>8967.48</v>
      </c>
    </row>
    <row r="153" spans="2:6" ht="10.5" hidden="1">
      <c r="B153" s="16" t="s">
        <v>32</v>
      </c>
      <c r="F153" s="1">
        <v>1343.77</v>
      </c>
    </row>
    <row r="154" spans="2:6" ht="10.5" hidden="1">
      <c r="B154" s="16" t="s">
        <v>33</v>
      </c>
      <c r="F154" s="1">
        <v>2421.38</v>
      </c>
    </row>
    <row r="155" ht="21" hidden="1">
      <c r="B155" s="16" t="s">
        <v>34</v>
      </c>
    </row>
    <row r="156" spans="2:12" ht="21" hidden="1">
      <c r="B156" s="16" t="s">
        <v>35</v>
      </c>
      <c r="C156" s="17"/>
      <c r="K156" s="1" t="s">
        <v>36</v>
      </c>
      <c r="L156" s="1" t="s">
        <v>37</v>
      </c>
    </row>
    <row r="157" ht="10.5" hidden="1">
      <c r="B157" s="16" t="s">
        <v>38</v>
      </c>
    </row>
    <row r="158" ht="21" hidden="1">
      <c r="B158" s="16" t="s">
        <v>39</v>
      </c>
    </row>
    <row r="159" ht="10.5" hidden="1">
      <c r="B159" s="16" t="s">
        <v>40</v>
      </c>
    </row>
    <row r="160" spans="2:12" ht="10.5" hidden="1">
      <c r="B160" s="16" t="s">
        <v>41</v>
      </c>
      <c r="C160" s="1">
        <v>120.7</v>
      </c>
      <c r="F160" s="13">
        <f>IF('Текущие цены с учетом расхода'!N13&gt;0,'Текущие цены с учетом расхода'!N13,IF('Текущие цены с учетом расхода'!N13&lt;0,'Текущие цены с учетом расхода'!N13,""))</f>
        <v>5629.36</v>
      </c>
      <c r="L160" s="5" t="s">
        <v>42</v>
      </c>
    </row>
    <row r="161" spans="2:12" ht="10.5" hidden="1">
      <c r="B161" s="16" t="s">
        <v>43</v>
      </c>
      <c r="C161" s="1">
        <v>120.7</v>
      </c>
      <c r="F161" s="13">
        <f>IF('Текущие цены с учетом расхода'!P13&gt;0,'Текущие цены с учетом расхода'!P13,IF('Текущие цены с учетом расхода'!P13&lt;0,'Текущие цены с учетом расхода'!P13,""))</f>
        <v>4007.44</v>
      </c>
      <c r="L161" s="5" t="s">
        <v>44</v>
      </c>
    </row>
    <row r="162" spans="2:12" ht="10.5" hidden="1">
      <c r="B162" s="16" t="s">
        <v>45</v>
      </c>
      <c r="C162" s="1">
        <v>120.7</v>
      </c>
      <c r="F162" s="13">
        <f>IF('Текущие цены с учетом расхода'!Q13&gt;0,'Текущие цены с учетом расхода'!Q13,IF('Текущие цены с учетом расхода'!Q13&lt;0,'Текущие цены с учетом расхода'!Q13,""))</f>
        <v>1621.93</v>
      </c>
      <c r="L162" s="5" t="s">
        <v>46</v>
      </c>
    </row>
    <row r="163" spans="2:12" ht="10.5" hidden="1">
      <c r="B163" s="16" t="s">
        <v>47</v>
      </c>
      <c r="C163" s="1">
        <v>76</v>
      </c>
      <c r="F163" s="13">
        <f>IF('Текущие цены с учетом расхода'!O13&gt;0,'Текущие цены с учетом расхода'!O13,IF('Текущие цены с учетом расхода'!O13&lt;0,'Текущие цены с учетом расхода'!O13,""))</f>
        <v>3544.59</v>
      </c>
      <c r="L163" s="5" t="s">
        <v>48</v>
      </c>
    </row>
    <row r="164" spans="2:12" ht="10.5" hidden="1">
      <c r="B164" s="16" t="s">
        <v>49</v>
      </c>
      <c r="C164" s="1">
        <v>76</v>
      </c>
      <c r="F164" s="13">
        <f>IF('Текущие цены с учетом расхода'!R13&gt;0,'Текущие цены с учетом расхода'!R13,IF('Текущие цены с учетом расхода'!R13&lt;0,'Текущие цены с учетом расхода'!R13,""))</f>
        <v>2523.32</v>
      </c>
      <c r="L164" s="5" t="s">
        <v>50</v>
      </c>
    </row>
    <row r="165" spans="2:12" ht="10.5" hidden="1">
      <c r="B165" s="16" t="s">
        <v>51</v>
      </c>
      <c r="C165" s="1">
        <v>76</v>
      </c>
      <c r="F165" s="13">
        <f>IF('Текущие цены с учетом расхода'!S13&gt;0,'Текущие цены с учетом расхода'!S13,IF('Текущие цены с учетом расхода'!S13&lt;0,'Текущие цены с учетом расхода'!S13,""))</f>
        <v>1021.27</v>
      </c>
      <c r="L165" s="5" t="s">
        <v>52</v>
      </c>
    </row>
    <row r="166" spans="1:10" ht="10.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4" ht="10.5">
      <c r="A167" s="42" t="s">
        <v>69</v>
      </c>
      <c r="B167" s="43" t="s">
        <v>70</v>
      </c>
      <c r="C167" s="40">
        <v>27</v>
      </c>
      <c r="D167" s="12">
        <f>'Текущие цены за единицу'!B14</f>
        <v>534.33</v>
      </c>
      <c r="E167" s="12">
        <f>'Текущие цены за единицу'!D14</f>
        <v>534.33</v>
      </c>
      <c r="F167" s="44">
        <f>'Текущие цены с учетом расхода'!B14</f>
        <v>14426.91</v>
      </c>
      <c r="G167" s="44">
        <f>'Текущие цены с учетом расхода'!C14</f>
        <v>0</v>
      </c>
      <c r="H167" s="12">
        <f>'Текущие цены с учетом расхода'!D14</f>
        <v>14426.91</v>
      </c>
      <c r="I167" s="14"/>
      <c r="J167" s="14">
        <f>'Текущие цены с учетом расхода'!I14</f>
        <v>0</v>
      </c>
      <c r="K167" s="1" t="s">
        <v>26</v>
      </c>
      <c r="L167" s="1" t="s">
        <v>27</v>
      </c>
      <c r="N167" s="44">
        <f>'Текущие цены с учетом расхода'!F14</f>
        <v>0</v>
      </c>
    </row>
    <row r="168" spans="1:14" ht="43.5" customHeight="1">
      <c r="A168" s="40"/>
      <c r="B168" s="40"/>
      <c r="C168" s="40"/>
      <c r="D168" s="13">
        <f>'Текущие цены за единицу'!C14</f>
        <v>0</v>
      </c>
      <c r="E168" s="13">
        <f>'Текущие цены за единицу'!E14</f>
        <v>0</v>
      </c>
      <c r="F168" s="44"/>
      <c r="G168" s="44"/>
      <c r="H168" s="13">
        <f>'Текущие цены с учетом расхода'!E14</f>
        <v>0</v>
      </c>
      <c r="J168" s="1">
        <f>'Текущие цены с учетом расхода'!K14</f>
        <v>0</v>
      </c>
      <c r="K168" s="1" t="s">
        <v>28</v>
      </c>
      <c r="L168" s="1" t="s">
        <v>29</v>
      </c>
      <c r="N168" s="44"/>
    </row>
    <row r="169" ht="10.5">
      <c r="B169" s="15" t="str">
        <f>IF(ROUND((4.5*6)/1,9)=C167,"Объем: 4,5*6","")</f>
        <v>Объем: 4,5*6</v>
      </c>
    </row>
    <row r="170" ht="10.5" hidden="1">
      <c r="B170" s="16" t="s">
        <v>30</v>
      </c>
    </row>
    <row r="171" spans="2:6" ht="10.5" hidden="1">
      <c r="B171" s="16" t="s">
        <v>31</v>
      </c>
      <c r="F171" s="1">
        <v>14426.91</v>
      </c>
    </row>
    <row r="172" ht="10.5" hidden="1">
      <c r="B172" s="16" t="s">
        <v>32</v>
      </c>
    </row>
    <row r="173" ht="10.5" hidden="1">
      <c r="B173" s="16" t="s">
        <v>33</v>
      </c>
    </row>
    <row r="174" ht="21" hidden="1">
      <c r="B174" s="16" t="s">
        <v>34</v>
      </c>
    </row>
    <row r="175" spans="2:12" ht="21" hidden="1">
      <c r="B175" s="16" t="s">
        <v>35</v>
      </c>
      <c r="C175" s="17"/>
      <c r="K175" s="1" t="s">
        <v>36</v>
      </c>
      <c r="L175" s="1" t="s">
        <v>37</v>
      </c>
    </row>
    <row r="176" ht="10.5" hidden="1">
      <c r="B176" s="16" t="s">
        <v>38</v>
      </c>
    </row>
    <row r="177" ht="21" hidden="1">
      <c r="B177" s="16" t="s">
        <v>39</v>
      </c>
    </row>
    <row r="178" ht="10.5" hidden="1">
      <c r="B178" s="16" t="s">
        <v>40</v>
      </c>
    </row>
    <row r="179" spans="2:12" ht="10.5" hidden="1">
      <c r="B179" s="16" t="s">
        <v>55</v>
      </c>
      <c r="F179" s="13">
        <f>IF('Текущие цены с учетом расхода'!AF14&gt;0,'Текущие цены с учетом расхода'!AF14,IF('Текущие цены с учетом расхода'!AF14&lt;0,'Текущие цены с учетом расхода'!AF14,""))</f>
      </c>
      <c r="L179" s="5" t="s">
        <v>42</v>
      </c>
    </row>
    <row r="180" spans="2:12" ht="10.5" hidden="1">
      <c r="B180" s="16" t="s">
        <v>43</v>
      </c>
      <c r="F180" s="13">
        <f>IF('Текущие цены с учетом расхода'!P14&gt;0,'Текущие цены с учетом расхода'!P14,IF('Текущие цены с учетом расхода'!P14&lt;0,'Текущие цены с учетом расхода'!P14,""))</f>
      </c>
      <c r="L180" s="5" t="s">
        <v>44</v>
      </c>
    </row>
    <row r="181" spans="2:12" ht="10.5" hidden="1">
      <c r="B181" s="16" t="s">
        <v>45</v>
      </c>
      <c r="F181" s="13">
        <f>IF('Текущие цены с учетом расхода'!Q14&gt;0,'Текущие цены с учетом расхода'!Q14,IF('Текущие цены с учетом расхода'!Q14&lt;0,'Текущие цены с учетом расхода'!Q14,""))</f>
      </c>
      <c r="L181" s="5" t="s">
        <v>46</v>
      </c>
    </row>
    <row r="182" spans="2:12" ht="10.5" hidden="1">
      <c r="B182" s="16" t="s">
        <v>56</v>
      </c>
      <c r="F182" s="13">
        <f>IF('Текущие цены с учетом расхода'!AG14&gt;0,'Текущие цены с учетом расхода'!AG14,IF('Текущие цены с учетом расхода'!AG14&lt;0,'Текущие цены с учетом расхода'!AG14,""))</f>
      </c>
      <c r="L182" s="5" t="s">
        <v>48</v>
      </c>
    </row>
    <row r="183" spans="2:12" ht="10.5" hidden="1">
      <c r="B183" s="16" t="s">
        <v>49</v>
      </c>
      <c r="F183" s="13">
        <f>IF('Текущие цены с учетом расхода'!R14&gt;0,'Текущие цены с учетом расхода'!R14,IF('Текущие цены с учетом расхода'!R14&lt;0,'Текущие цены с учетом расхода'!R14,""))</f>
      </c>
      <c r="L183" s="5" t="s">
        <v>50</v>
      </c>
    </row>
    <row r="184" spans="2:12" ht="10.5" hidden="1">
      <c r="B184" s="16" t="s">
        <v>51</v>
      </c>
      <c r="F184" s="13">
        <f>IF('Текущие цены с учетом расхода'!S14&gt;0,'Текущие цены с учетом расхода'!S14,IF('Текущие цены с учетом расхода'!S14&lt;0,'Текущие цены с учетом расхода'!S14,""))</f>
      </c>
      <c r="L184" s="5" t="s">
        <v>52</v>
      </c>
    </row>
    <row r="185" spans="1:10" ht="10.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2:9" ht="21.75" customHeight="1">
      <c r="B186" s="45" t="s">
        <v>71</v>
      </c>
      <c r="C186" s="45"/>
      <c r="D186" s="45"/>
      <c r="E186" s="45"/>
      <c r="F186" s="45"/>
      <c r="G186" s="45"/>
      <c r="H186" s="45"/>
      <c r="I186" s="45"/>
    </row>
    <row r="188" spans="1:14" ht="10.5">
      <c r="A188" s="42" t="s">
        <v>72</v>
      </c>
      <c r="B188" s="43" t="s">
        <v>73</v>
      </c>
      <c r="C188" s="40">
        <v>0.7776</v>
      </c>
      <c r="D188" s="12">
        <f>'Текущие цены за единицу'!B15</f>
        <v>63744.26</v>
      </c>
      <c r="E188" s="12">
        <f>'Текущие цены за единицу'!D15</f>
        <v>36017.51</v>
      </c>
      <c r="F188" s="44">
        <f>'Текущие цены с учетом расхода'!B15</f>
        <v>49567.54</v>
      </c>
      <c r="G188" s="44">
        <f>'Текущие цены с учетом расхода'!C15</f>
        <v>19190.93</v>
      </c>
      <c r="H188" s="12">
        <f>'Текущие цены с учетом расхода'!D15</f>
        <v>28007.22</v>
      </c>
      <c r="I188" s="14">
        <v>94</v>
      </c>
      <c r="J188" s="14">
        <f>'Текущие цены с учетом расхода'!I15</f>
        <v>73.0944</v>
      </c>
      <c r="K188" s="1" t="s">
        <v>26</v>
      </c>
      <c r="L188" s="1" t="s">
        <v>27</v>
      </c>
      <c r="N188" s="44">
        <f>'Текущие цены с учетом расхода'!F15</f>
        <v>2369.39</v>
      </c>
    </row>
    <row r="189" spans="1:14" ht="43.5" customHeight="1">
      <c r="A189" s="40"/>
      <c r="B189" s="40"/>
      <c r="C189" s="40"/>
      <c r="D189" s="13">
        <f>'Текущие цены за единицу'!C15</f>
        <v>24679.7</v>
      </c>
      <c r="E189" s="13">
        <f>'Текущие цены за единицу'!E15</f>
        <v>6294.91</v>
      </c>
      <c r="F189" s="44"/>
      <c r="G189" s="44"/>
      <c r="H189" s="13">
        <f>'Текущие цены с учетом расхода'!E15</f>
        <v>4894.92</v>
      </c>
      <c r="I189" s="1">
        <v>16.9</v>
      </c>
      <c r="J189" s="1">
        <f>'Текущие цены с учетом расхода'!K15</f>
        <v>13.14144</v>
      </c>
      <c r="K189" s="1" t="s">
        <v>28</v>
      </c>
      <c r="L189" s="1" t="s">
        <v>29</v>
      </c>
      <c r="N189" s="44"/>
    </row>
    <row r="190" ht="10.5">
      <c r="B190" s="15" t="str">
        <f>IF(ROUND(((2*2+6.8)*1.2*6)/100,9)=C188,"Объем: (2*2+6,8)*1,2*6","")</f>
        <v>Объем: (2*2+6,8)*1,2*6</v>
      </c>
    </row>
    <row r="191" spans="2:6" ht="10.5" hidden="1">
      <c r="B191" s="16" t="s">
        <v>30</v>
      </c>
      <c r="F191" s="1">
        <v>19190.93</v>
      </c>
    </row>
    <row r="192" spans="2:6" ht="10.5" hidden="1">
      <c r="B192" s="16" t="s">
        <v>31</v>
      </c>
      <c r="F192" s="1">
        <v>28007.21</v>
      </c>
    </row>
    <row r="193" spans="2:6" ht="10.5" hidden="1">
      <c r="B193" s="16" t="s">
        <v>32</v>
      </c>
      <c r="F193" s="1">
        <v>4894.92</v>
      </c>
    </row>
    <row r="194" spans="2:6" ht="10.5" hidden="1">
      <c r="B194" s="16" t="s">
        <v>33</v>
      </c>
      <c r="F194" s="1">
        <v>2369.39</v>
      </c>
    </row>
    <row r="195" ht="21" hidden="1">
      <c r="B195" s="16" t="s">
        <v>34</v>
      </c>
    </row>
    <row r="196" spans="2:12" ht="21" hidden="1">
      <c r="B196" s="16" t="s">
        <v>35</v>
      </c>
      <c r="C196" s="17"/>
      <c r="K196" s="1" t="s">
        <v>36</v>
      </c>
      <c r="L196" s="1" t="s">
        <v>37</v>
      </c>
    </row>
    <row r="197" ht="10.5" hidden="1">
      <c r="B197" s="16" t="s">
        <v>38</v>
      </c>
    </row>
    <row r="198" ht="21" hidden="1">
      <c r="B198" s="16" t="s">
        <v>39</v>
      </c>
    </row>
    <row r="199" ht="10.5" hidden="1">
      <c r="B199" s="16" t="s">
        <v>40</v>
      </c>
    </row>
    <row r="200" spans="2:12" ht="10.5" hidden="1">
      <c r="B200" s="16" t="s">
        <v>41</v>
      </c>
      <c r="C200" s="1">
        <v>76.5</v>
      </c>
      <c r="F200" s="13">
        <f>IF('Текущие цены с учетом расхода'!N15&gt;0,'Текущие цены с учетом расхода'!N15,IF('Текущие цены с учетом расхода'!N15&lt;0,'Текущие цены с учетом расхода'!N15,""))</f>
        <v>18425.68</v>
      </c>
      <c r="L200" s="5" t="s">
        <v>42</v>
      </c>
    </row>
    <row r="201" spans="2:12" ht="10.5" hidden="1">
      <c r="B201" s="16" t="s">
        <v>43</v>
      </c>
      <c r="C201" s="1">
        <v>76.5</v>
      </c>
      <c r="F201" s="13">
        <f>IF('Текущие цены с учетом расхода'!P15&gt;0,'Текущие цены с учетом расхода'!P15,IF('Текущие цены с учетом расхода'!P15&lt;0,'Текущие цены с учетом расхода'!P15,""))</f>
        <v>14681.07</v>
      </c>
      <c r="L201" s="5" t="s">
        <v>44</v>
      </c>
    </row>
    <row r="202" spans="2:12" ht="10.5" hidden="1">
      <c r="B202" s="16" t="s">
        <v>45</v>
      </c>
      <c r="C202" s="1">
        <v>76.5</v>
      </c>
      <c r="F202" s="13">
        <f>IF('Текущие цены с учетом расхода'!Q15&gt;0,'Текущие цены с учетом расхода'!Q15,IF('Текущие цены с учетом расхода'!Q15&lt;0,'Текущие цены с учетом расхода'!Q15,""))</f>
        <v>3744.62</v>
      </c>
      <c r="L202" s="5" t="s">
        <v>46</v>
      </c>
    </row>
    <row r="203" spans="2:12" ht="10.5" hidden="1">
      <c r="B203" s="16" t="s">
        <v>47</v>
      </c>
      <c r="C203" s="1">
        <v>68</v>
      </c>
      <c r="F203" s="13">
        <f>IF('Текущие цены с учетом расхода'!O15&gt;0,'Текущие цены с учетом расхода'!O15,IF('Текущие цены с учетом расхода'!O15&lt;0,'Текущие цены с учетом расхода'!O15,""))</f>
        <v>16378.38</v>
      </c>
      <c r="L203" s="5" t="s">
        <v>48</v>
      </c>
    </row>
    <row r="204" spans="2:12" ht="10.5" hidden="1">
      <c r="B204" s="16" t="s">
        <v>49</v>
      </c>
      <c r="C204" s="1">
        <v>68</v>
      </c>
      <c r="F204" s="13">
        <f>IF('Текущие цены с учетом расхода'!R15&gt;0,'Текущие цены с учетом расхода'!R15,IF('Текущие цены с учетом расхода'!R15&lt;0,'Текущие цены с учетом расхода'!R15,""))</f>
        <v>13049.84</v>
      </c>
      <c r="L204" s="5" t="s">
        <v>50</v>
      </c>
    </row>
    <row r="205" spans="2:12" ht="10.5" hidden="1">
      <c r="B205" s="16" t="s">
        <v>51</v>
      </c>
      <c r="C205" s="1">
        <v>68</v>
      </c>
      <c r="F205" s="13">
        <f>IF('Текущие цены с учетом расхода'!S15&gt;0,'Текущие цены с учетом расхода'!S15,IF('Текущие цены с учетом расхода'!S15&lt;0,'Текущие цены с учетом расхода'!S15,""))</f>
        <v>3328.55</v>
      </c>
      <c r="L205" s="5" t="s">
        <v>52</v>
      </c>
    </row>
    <row r="206" spans="1:10" ht="10.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4" ht="10.5">
      <c r="A207" s="42" t="s">
        <v>74</v>
      </c>
      <c r="B207" s="43" t="s">
        <v>75</v>
      </c>
      <c r="C207" s="40">
        <v>0.54432</v>
      </c>
      <c r="D207" s="12">
        <f>'Текущие цены за единицу'!B16</f>
        <v>33941.53</v>
      </c>
      <c r="E207" s="12">
        <f>'Текущие цены за единицу'!D16</f>
        <v>0</v>
      </c>
      <c r="F207" s="44">
        <f>'Текущие цены с учетом расхода'!B16</f>
        <v>18475.05</v>
      </c>
      <c r="G207" s="44">
        <f>'Текущие цены с учетом расхода'!C16</f>
        <v>0</v>
      </c>
      <c r="H207" s="12">
        <f>'Текущие цены с учетом расхода'!D16</f>
        <v>0</v>
      </c>
      <c r="I207" s="14"/>
      <c r="J207" s="14">
        <f>'Текущие цены с учетом расхода'!I16</f>
        <v>0</v>
      </c>
      <c r="K207" s="1" t="s">
        <v>26</v>
      </c>
      <c r="L207" s="1" t="s">
        <v>27</v>
      </c>
      <c r="N207" s="44">
        <f>'Текущие цены с учетом расхода'!F16</f>
        <v>18475.05</v>
      </c>
    </row>
    <row r="208" spans="1:14" ht="43.5" customHeight="1">
      <c r="A208" s="40"/>
      <c r="B208" s="40"/>
      <c r="C208" s="40"/>
      <c r="D208" s="13">
        <f>'Текущие цены за единицу'!C16</f>
        <v>0</v>
      </c>
      <c r="E208" s="13">
        <f>'Текущие цены за единицу'!E16</f>
        <v>0</v>
      </c>
      <c r="F208" s="44"/>
      <c r="G208" s="44"/>
      <c r="H208" s="13">
        <f>'Текущие цены с учетом расхода'!E16</f>
        <v>0</v>
      </c>
      <c r="J208" s="1">
        <f>'Текущие цены с учетом расхода'!K16</f>
        <v>0</v>
      </c>
      <c r="K208" s="1" t="s">
        <v>28</v>
      </c>
      <c r="L208" s="1" t="s">
        <v>29</v>
      </c>
      <c r="N208" s="44"/>
    </row>
    <row r="209" ht="10.5">
      <c r="B209" s="15" t="str">
        <f>IF(ROUND((5.04*18/1000*6)/1,9)=C207,"Объем: 5,04*18/1000*6","")</f>
        <v>Объем: 5,04*18/1000*6</v>
      </c>
    </row>
    <row r="210" ht="10.5" hidden="1">
      <c r="B210" s="16" t="s">
        <v>30</v>
      </c>
    </row>
    <row r="211" ht="10.5" hidden="1">
      <c r="B211" s="16" t="s">
        <v>31</v>
      </c>
    </row>
    <row r="212" ht="10.5" hidden="1">
      <c r="B212" s="16" t="s">
        <v>32</v>
      </c>
    </row>
    <row r="213" spans="2:6" ht="10.5" hidden="1">
      <c r="B213" s="16" t="s">
        <v>33</v>
      </c>
      <c r="F213" s="1">
        <v>18475.05</v>
      </c>
    </row>
    <row r="214" ht="21" hidden="1">
      <c r="B214" s="16" t="s">
        <v>34</v>
      </c>
    </row>
    <row r="215" spans="2:12" ht="21" hidden="1">
      <c r="B215" s="16" t="s">
        <v>35</v>
      </c>
      <c r="C215" s="17"/>
      <c r="K215" s="1" t="s">
        <v>36</v>
      </c>
      <c r="L215" s="1" t="s">
        <v>37</v>
      </c>
    </row>
    <row r="216" ht="10.5" hidden="1">
      <c r="B216" s="16" t="s">
        <v>38</v>
      </c>
    </row>
    <row r="217" ht="21" hidden="1">
      <c r="B217" s="16" t="s">
        <v>39</v>
      </c>
    </row>
    <row r="218" ht="10.5" hidden="1">
      <c r="B218" s="16" t="s">
        <v>40</v>
      </c>
    </row>
    <row r="219" spans="2:12" ht="10.5" hidden="1">
      <c r="B219" s="16" t="s">
        <v>41</v>
      </c>
      <c r="F219" s="13">
        <f>IF('Текущие цены с учетом расхода'!N16&gt;0,'Текущие цены с учетом расхода'!N16,IF('Текущие цены с учетом расхода'!N16&lt;0,'Текущие цены с учетом расхода'!N16,""))</f>
      </c>
      <c r="L219" s="5" t="s">
        <v>42</v>
      </c>
    </row>
    <row r="220" spans="2:12" ht="10.5" hidden="1">
      <c r="B220" s="16" t="s">
        <v>43</v>
      </c>
      <c r="F220" s="13">
        <f>IF('Текущие цены с учетом расхода'!P16&gt;0,'Текущие цены с учетом расхода'!P16,IF('Текущие цены с учетом расхода'!P16&lt;0,'Текущие цены с учетом расхода'!P16,""))</f>
      </c>
      <c r="L220" s="5" t="s">
        <v>44</v>
      </c>
    </row>
    <row r="221" spans="2:12" ht="10.5" hidden="1">
      <c r="B221" s="16" t="s">
        <v>45</v>
      </c>
      <c r="F221" s="13">
        <f>IF('Текущие цены с учетом расхода'!Q16&gt;0,'Текущие цены с учетом расхода'!Q16,IF('Текущие цены с учетом расхода'!Q16&lt;0,'Текущие цены с учетом расхода'!Q16,""))</f>
      </c>
      <c r="L221" s="5" t="s">
        <v>46</v>
      </c>
    </row>
    <row r="222" spans="2:12" ht="10.5" hidden="1">
      <c r="B222" s="16" t="s">
        <v>47</v>
      </c>
      <c r="F222" s="13">
        <f>IF('Текущие цены с учетом расхода'!O16&gt;0,'Текущие цены с учетом расхода'!O16,IF('Текущие цены с учетом расхода'!O16&lt;0,'Текущие цены с учетом расхода'!O16,""))</f>
      </c>
      <c r="L222" s="5" t="s">
        <v>48</v>
      </c>
    </row>
    <row r="223" spans="2:12" ht="10.5" hidden="1">
      <c r="B223" s="16" t="s">
        <v>49</v>
      </c>
      <c r="F223" s="13">
        <f>IF('Текущие цены с учетом расхода'!R16&gt;0,'Текущие цены с учетом расхода'!R16,IF('Текущие цены с учетом расхода'!R16&lt;0,'Текущие цены с учетом расхода'!R16,""))</f>
      </c>
      <c r="L223" s="5" t="s">
        <v>50</v>
      </c>
    </row>
    <row r="224" spans="2:12" ht="10.5" hidden="1">
      <c r="B224" s="16" t="s">
        <v>51</v>
      </c>
      <c r="F224" s="13">
        <f>IF('Текущие цены с учетом расхода'!S16&gt;0,'Текущие цены с учетом расхода'!S16,IF('Текущие цены с учетом расхода'!S16&lt;0,'Текущие цены с учетом расхода'!S16,""))</f>
      </c>
      <c r="L224" s="5" t="s">
        <v>52</v>
      </c>
    </row>
    <row r="225" spans="1:10" ht="10.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4" ht="10.5">
      <c r="A226" s="42" t="s">
        <v>76</v>
      </c>
      <c r="B226" s="43" t="s">
        <v>77</v>
      </c>
      <c r="C226" s="40">
        <v>85.53626</v>
      </c>
      <c r="D226" s="12">
        <f>'Текущие цены за единицу'!B17</f>
        <v>485.04</v>
      </c>
      <c r="E226" s="12">
        <f>'Текущие цены за единицу'!D17</f>
        <v>0</v>
      </c>
      <c r="F226" s="44">
        <f>'Текущие цены с учетом расхода'!B17</f>
        <v>41488.51</v>
      </c>
      <c r="G226" s="44">
        <f>'Текущие цены с учетом расхода'!C17</f>
        <v>0</v>
      </c>
      <c r="H226" s="12">
        <f>'Текущие цены с учетом расхода'!D17</f>
        <v>0</v>
      </c>
      <c r="I226" s="14"/>
      <c r="J226" s="14">
        <f>'Текущие цены с учетом расхода'!I17</f>
        <v>0</v>
      </c>
      <c r="K226" s="1" t="s">
        <v>26</v>
      </c>
      <c r="L226" s="1" t="s">
        <v>27</v>
      </c>
      <c r="N226" s="44">
        <f>'Текущие цены с учетом расхода'!F17</f>
        <v>41488.51</v>
      </c>
    </row>
    <row r="227" spans="1:14" ht="43.5" customHeight="1">
      <c r="A227" s="40"/>
      <c r="B227" s="40"/>
      <c r="C227" s="40"/>
      <c r="D227" s="13">
        <f>'Текущие цены за единицу'!C17</f>
        <v>0</v>
      </c>
      <c r="E227" s="13">
        <f>'Текущие цены за единицу'!E17</f>
        <v>0</v>
      </c>
      <c r="F227" s="44"/>
      <c r="G227" s="44"/>
      <c r="H227" s="13">
        <f>'Текущие цены с учетом расхода'!E17</f>
        <v>0</v>
      </c>
      <c r="J227" s="1">
        <f>'Текущие цены с учетом расхода'!K17</f>
        <v>0</v>
      </c>
      <c r="K227" s="1" t="s">
        <v>28</v>
      </c>
      <c r="L227" s="1" t="s">
        <v>29</v>
      </c>
      <c r="N227" s="44"/>
    </row>
    <row r="228" ht="10.5">
      <c r="B228" s="15">
        <f>IF(ROUND((12.96*1.1*6)/1,9)=C226,"Объем: 12,96*1,1*6","")</f>
      </c>
    </row>
    <row r="229" ht="10.5" hidden="1">
      <c r="B229" s="16" t="s">
        <v>30</v>
      </c>
    </row>
    <row r="230" ht="10.5" hidden="1">
      <c r="B230" s="16" t="s">
        <v>31</v>
      </c>
    </row>
    <row r="231" ht="10.5" hidden="1">
      <c r="B231" s="16" t="s">
        <v>32</v>
      </c>
    </row>
    <row r="232" spans="2:6" ht="10.5" hidden="1">
      <c r="B232" s="16" t="s">
        <v>33</v>
      </c>
      <c r="F232" s="1">
        <v>41488.38</v>
      </c>
    </row>
    <row r="233" ht="21" hidden="1">
      <c r="B233" s="16" t="s">
        <v>34</v>
      </c>
    </row>
    <row r="234" spans="2:12" ht="21" hidden="1">
      <c r="B234" s="16" t="s">
        <v>35</v>
      </c>
      <c r="C234" s="17"/>
      <c r="K234" s="1" t="s">
        <v>36</v>
      </c>
      <c r="L234" s="1" t="s">
        <v>37</v>
      </c>
    </row>
    <row r="235" ht="10.5" hidden="1">
      <c r="B235" s="16" t="s">
        <v>38</v>
      </c>
    </row>
    <row r="236" ht="21" hidden="1">
      <c r="B236" s="16" t="s">
        <v>39</v>
      </c>
    </row>
    <row r="237" ht="10.5" hidden="1">
      <c r="B237" s="16" t="s">
        <v>40</v>
      </c>
    </row>
    <row r="238" spans="2:12" ht="10.5" hidden="1">
      <c r="B238" s="16" t="s">
        <v>41</v>
      </c>
      <c r="F238" s="13">
        <f>IF('Текущие цены с учетом расхода'!N17&gt;0,'Текущие цены с учетом расхода'!N17,IF('Текущие цены с учетом расхода'!N17&lt;0,'Текущие цены с учетом расхода'!N17,""))</f>
      </c>
      <c r="L238" s="5" t="s">
        <v>42</v>
      </c>
    </row>
    <row r="239" spans="2:12" ht="10.5" hidden="1">
      <c r="B239" s="16" t="s">
        <v>43</v>
      </c>
      <c r="F239" s="13">
        <f>IF('Текущие цены с учетом расхода'!P17&gt;0,'Текущие цены с учетом расхода'!P17,IF('Текущие цены с учетом расхода'!P17&lt;0,'Текущие цены с учетом расхода'!P17,""))</f>
      </c>
      <c r="L239" s="5" t="s">
        <v>44</v>
      </c>
    </row>
    <row r="240" spans="2:12" ht="10.5" hidden="1">
      <c r="B240" s="16" t="s">
        <v>45</v>
      </c>
      <c r="F240" s="13">
        <f>IF('Текущие цены с учетом расхода'!Q17&gt;0,'Текущие цены с учетом расхода'!Q17,IF('Текущие цены с учетом расхода'!Q17&lt;0,'Текущие цены с учетом расхода'!Q17,""))</f>
      </c>
      <c r="L240" s="5" t="s">
        <v>46</v>
      </c>
    </row>
    <row r="241" spans="2:12" ht="10.5" hidden="1">
      <c r="B241" s="16" t="s">
        <v>47</v>
      </c>
      <c r="F241" s="13">
        <f>IF('Текущие цены с учетом расхода'!O17&gt;0,'Текущие цены с учетом расхода'!O17,IF('Текущие цены с учетом расхода'!O17&lt;0,'Текущие цены с учетом расхода'!O17,""))</f>
      </c>
      <c r="L241" s="5" t="s">
        <v>48</v>
      </c>
    </row>
    <row r="242" spans="2:12" ht="10.5" hidden="1">
      <c r="B242" s="16" t="s">
        <v>49</v>
      </c>
      <c r="F242" s="13">
        <f>IF('Текущие цены с учетом расхода'!R17&gt;0,'Текущие цены с учетом расхода'!R17,IF('Текущие цены с учетом расхода'!R17&lt;0,'Текущие цены с учетом расхода'!R17,""))</f>
      </c>
      <c r="L242" s="5" t="s">
        <v>50</v>
      </c>
    </row>
    <row r="243" spans="2:12" ht="10.5" hidden="1">
      <c r="B243" s="16" t="s">
        <v>51</v>
      </c>
      <c r="F243" s="13">
        <f>IF('Текущие цены с учетом расхода'!S17&gt;0,'Текущие цены с учетом расхода'!S17,IF('Текущие цены с учетом расхода'!S17&lt;0,'Текущие цены с учетом расхода'!S17,""))</f>
      </c>
      <c r="L243" s="5" t="s">
        <v>52</v>
      </c>
    </row>
    <row r="244" spans="1:10" ht="10.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4" ht="10.5">
      <c r="A245" s="42" t="s">
        <v>78</v>
      </c>
      <c r="B245" s="43" t="s">
        <v>79</v>
      </c>
      <c r="C245" s="40">
        <v>0.01512</v>
      </c>
      <c r="D245" s="12">
        <f>'Текущие цены за единицу'!B18</f>
        <v>240093.79</v>
      </c>
      <c r="E245" s="12">
        <f>'Текущие цены за единицу'!D18</f>
        <v>0</v>
      </c>
      <c r="F245" s="44">
        <f>'Текущие цены с учетом расхода'!B18</f>
        <v>3630.22</v>
      </c>
      <c r="G245" s="44">
        <f>'Текущие цены с учетом расхода'!C18</f>
        <v>0</v>
      </c>
      <c r="H245" s="12">
        <f>'Текущие цены с учетом расхода'!D18</f>
        <v>0</v>
      </c>
      <c r="I245" s="14"/>
      <c r="J245" s="14">
        <f>'Текущие цены с учетом расхода'!I18</f>
        <v>0</v>
      </c>
      <c r="K245" s="1" t="s">
        <v>26</v>
      </c>
      <c r="L245" s="1" t="s">
        <v>27</v>
      </c>
      <c r="N245" s="44">
        <f>'Текущие цены с учетом расхода'!F18</f>
        <v>3630.22</v>
      </c>
    </row>
    <row r="246" spans="1:14" ht="43.5" customHeight="1">
      <c r="A246" s="40"/>
      <c r="B246" s="40"/>
      <c r="C246" s="40"/>
      <c r="D246" s="13">
        <f>'Текущие цены за единицу'!C18</f>
        <v>0</v>
      </c>
      <c r="E246" s="13">
        <f>'Текущие цены за единицу'!E18</f>
        <v>0</v>
      </c>
      <c r="F246" s="44"/>
      <c r="G246" s="44"/>
      <c r="H246" s="13">
        <f>'Текущие цены с учетом расхода'!E18</f>
        <v>0</v>
      </c>
      <c r="J246" s="1">
        <f>'Текущие цены с учетом расхода'!K18</f>
        <v>0</v>
      </c>
      <c r="K246" s="1" t="s">
        <v>28</v>
      </c>
      <c r="L246" s="1" t="s">
        <v>29</v>
      </c>
      <c r="N246" s="44"/>
    </row>
    <row r="247" ht="10.5">
      <c r="B247" s="15" t="str">
        <f>IF(ROUND((0.00252*6)/1,9)=C245,"Объем: 0,00252*6","")</f>
        <v>Объем: 0,00252*6</v>
      </c>
    </row>
    <row r="248" ht="10.5" hidden="1">
      <c r="B248" s="16" t="s">
        <v>30</v>
      </c>
    </row>
    <row r="249" ht="10.5" hidden="1">
      <c r="B249" s="16" t="s">
        <v>31</v>
      </c>
    </row>
    <row r="250" ht="10.5" hidden="1">
      <c r="B250" s="16" t="s">
        <v>32</v>
      </c>
    </row>
    <row r="251" spans="2:6" ht="10.5" hidden="1">
      <c r="B251" s="16" t="s">
        <v>33</v>
      </c>
      <c r="F251" s="1">
        <v>3630.22</v>
      </c>
    </row>
    <row r="252" ht="21" hidden="1">
      <c r="B252" s="16" t="s">
        <v>34</v>
      </c>
    </row>
    <row r="253" spans="2:12" ht="21" hidden="1">
      <c r="B253" s="16" t="s">
        <v>35</v>
      </c>
      <c r="C253" s="17"/>
      <c r="K253" s="1" t="s">
        <v>36</v>
      </c>
      <c r="L253" s="1" t="s">
        <v>37</v>
      </c>
    </row>
    <row r="254" ht="10.5" hidden="1">
      <c r="B254" s="16" t="s">
        <v>38</v>
      </c>
    </row>
    <row r="255" ht="21" hidden="1">
      <c r="B255" s="16" t="s">
        <v>39</v>
      </c>
    </row>
    <row r="256" ht="10.5" hidden="1">
      <c r="B256" s="16" t="s">
        <v>40</v>
      </c>
    </row>
    <row r="257" spans="2:12" ht="10.5" hidden="1">
      <c r="B257" s="16" t="s">
        <v>41</v>
      </c>
      <c r="F257" s="13">
        <f>IF('Текущие цены с учетом расхода'!N18&gt;0,'Текущие цены с учетом расхода'!N18,IF('Текущие цены с учетом расхода'!N18&lt;0,'Текущие цены с учетом расхода'!N18,""))</f>
      </c>
      <c r="L257" s="5" t="s">
        <v>42</v>
      </c>
    </row>
    <row r="258" spans="2:12" ht="10.5" hidden="1">
      <c r="B258" s="16" t="s">
        <v>43</v>
      </c>
      <c r="F258" s="13">
        <f>IF('Текущие цены с учетом расхода'!P18&gt;0,'Текущие цены с учетом расхода'!P18,IF('Текущие цены с учетом расхода'!P18&lt;0,'Текущие цены с учетом расхода'!P18,""))</f>
      </c>
      <c r="L258" s="5" t="s">
        <v>44</v>
      </c>
    </row>
    <row r="259" spans="2:12" ht="10.5" hidden="1">
      <c r="B259" s="16" t="s">
        <v>45</v>
      </c>
      <c r="F259" s="13">
        <f>IF('Текущие цены с учетом расхода'!Q18&gt;0,'Текущие цены с учетом расхода'!Q18,IF('Текущие цены с учетом расхода'!Q18&lt;0,'Текущие цены с учетом расхода'!Q18,""))</f>
      </c>
      <c r="L259" s="5" t="s">
        <v>46</v>
      </c>
    </row>
    <row r="260" spans="2:12" ht="10.5" hidden="1">
      <c r="B260" s="16" t="s">
        <v>47</v>
      </c>
      <c r="F260" s="13">
        <f>IF('Текущие цены с учетом расхода'!O18&gt;0,'Текущие цены с учетом расхода'!O18,IF('Текущие цены с учетом расхода'!O18&lt;0,'Текущие цены с учетом расхода'!O18,""))</f>
      </c>
      <c r="L260" s="5" t="s">
        <v>48</v>
      </c>
    </row>
    <row r="261" spans="2:12" ht="10.5" hidden="1">
      <c r="B261" s="16" t="s">
        <v>49</v>
      </c>
      <c r="F261" s="13">
        <f>IF('Текущие цены с учетом расхода'!R18&gt;0,'Текущие цены с учетом расхода'!R18,IF('Текущие цены с учетом расхода'!R18&lt;0,'Текущие цены с учетом расхода'!R18,""))</f>
      </c>
      <c r="L261" s="5" t="s">
        <v>50</v>
      </c>
    </row>
    <row r="262" spans="2:12" ht="10.5" hidden="1">
      <c r="B262" s="16" t="s">
        <v>51</v>
      </c>
      <c r="F262" s="13">
        <f>IF('Текущие цены с учетом расхода'!S18&gt;0,'Текущие цены с учетом расхода'!S18,IF('Текущие цены с учетом расхода'!S18&lt;0,'Текущие цены с учетом расхода'!S18,""))</f>
      </c>
      <c r="L262" s="5" t="s">
        <v>52</v>
      </c>
    </row>
    <row r="263" spans="1:10" ht="10.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4" ht="10.5">
      <c r="A264" s="42" t="s">
        <v>80</v>
      </c>
      <c r="B264" s="43" t="s">
        <v>81</v>
      </c>
      <c r="C264" s="40">
        <v>84</v>
      </c>
      <c r="D264" s="12">
        <f>'Текущие цены за единицу'!B19</f>
        <v>52.17</v>
      </c>
      <c r="E264" s="12">
        <f>'Текущие цены за единицу'!D19</f>
        <v>0</v>
      </c>
      <c r="F264" s="44">
        <f>'Текущие цены с учетом расхода'!B19</f>
        <v>4382.28</v>
      </c>
      <c r="G264" s="44">
        <f>'Текущие цены с учетом расхода'!C19</f>
        <v>0</v>
      </c>
      <c r="H264" s="12">
        <f>'Текущие цены с учетом расхода'!D19</f>
        <v>0</v>
      </c>
      <c r="I264" s="14"/>
      <c r="J264" s="14">
        <f>'Текущие цены с учетом расхода'!I19</f>
        <v>0</v>
      </c>
      <c r="K264" s="1" t="s">
        <v>26</v>
      </c>
      <c r="L264" s="1" t="s">
        <v>27</v>
      </c>
      <c r="N264" s="44">
        <f>'Текущие цены с учетом расхода'!F19</f>
        <v>4382.28</v>
      </c>
    </row>
    <row r="265" spans="1:14" ht="21.75" customHeight="1">
      <c r="A265" s="40"/>
      <c r="B265" s="40"/>
      <c r="C265" s="40"/>
      <c r="D265" s="13">
        <f>'Текущие цены за единицу'!C19</f>
        <v>0</v>
      </c>
      <c r="E265" s="13">
        <f>'Текущие цены за единицу'!E19</f>
        <v>0</v>
      </c>
      <c r="F265" s="44"/>
      <c r="G265" s="44"/>
      <c r="H265" s="13">
        <f>'Текущие цены с учетом расхода'!E19</f>
        <v>0</v>
      </c>
      <c r="J265" s="1">
        <f>'Текущие цены с учетом расхода'!K19</f>
        <v>0</v>
      </c>
      <c r="K265" s="1" t="s">
        <v>28</v>
      </c>
      <c r="L265" s="1" t="s">
        <v>29</v>
      </c>
      <c r="N265" s="44"/>
    </row>
    <row r="266" ht="10.5">
      <c r="B266" s="15" t="str">
        <f>IF(ROUND((14*6)/1,9)=C264,"Объем: 14,0*6","")</f>
        <v>Объем: 14,0*6</v>
      </c>
    </row>
    <row r="267" ht="10.5" hidden="1">
      <c r="B267" s="16" t="s">
        <v>30</v>
      </c>
    </row>
    <row r="268" ht="10.5" hidden="1">
      <c r="B268" s="16" t="s">
        <v>31</v>
      </c>
    </row>
    <row r="269" ht="10.5" hidden="1">
      <c r="B269" s="16" t="s">
        <v>32</v>
      </c>
    </row>
    <row r="270" spans="2:6" ht="10.5" hidden="1">
      <c r="B270" s="16" t="s">
        <v>33</v>
      </c>
      <c r="F270" s="1">
        <v>4382.28</v>
      </c>
    </row>
    <row r="271" ht="21" hidden="1">
      <c r="B271" s="16" t="s">
        <v>34</v>
      </c>
    </row>
    <row r="272" spans="2:12" ht="21" hidden="1">
      <c r="B272" s="16" t="s">
        <v>35</v>
      </c>
      <c r="C272" s="17"/>
      <c r="K272" s="1" t="s">
        <v>36</v>
      </c>
      <c r="L272" s="1" t="s">
        <v>37</v>
      </c>
    </row>
    <row r="273" ht="10.5" hidden="1">
      <c r="B273" s="16" t="s">
        <v>38</v>
      </c>
    </row>
    <row r="274" ht="21" hidden="1">
      <c r="B274" s="16" t="s">
        <v>39</v>
      </c>
    </row>
    <row r="275" ht="10.5" hidden="1">
      <c r="B275" s="16" t="s">
        <v>40</v>
      </c>
    </row>
    <row r="276" spans="2:12" ht="10.5" hidden="1">
      <c r="B276" s="16" t="s">
        <v>41</v>
      </c>
      <c r="F276" s="13">
        <f>IF('Текущие цены с учетом расхода'!N19&gt;0,'Текущие цены с учетом расхода'!N19,IF('Текущие цены с учетом расхода'!N19&lt;0,'Текущие цены с учетом расхода'!N19,""))</f>
      </c>
      <c r="L276" s="5" t="s">
        <v>42</v>
      </c>
    </row>
    <row r="277" spans="2:12" ht="10.5" hidden="1">
      <c r="B277" s="16" t="s">
        <v>43</v>
      </c>
      <c r="F277" s="13">
        <f>IF('Текущие цены с учетом расхода'!P19&gt;0,'Текущие цены с учетом расхода'!P19,IF('Текущие цены с учетом расхода'!P19&lt;0,'Текущие цены с учетом расхода'!P19,""))</f>
      </c>
      <c r="L277" s="5" t="s">
        <v>44</v>
      </c>
    </row>
    <row r="278" spans="2:12" ht="10.5" hidden="1">
      <c r="B278" s="16" t="s">
        <v>45</v>
      </c>
      <c r="F278" s="13">
        <f>IF('Текущие цены с учетом расхода'!Q19&gt;0,'Текущие цены с учетом расхода'!Q19,IF('Текущие цены с учетом расхода'!Q19&lt;0,'Текущие цены с учетом расхода'!Q19,""))</f>
      </c>
      <c r="L278" s="5" t="s">
        <v>46</v>
      </c>
    </row>
    <row r="279" spans="2:12" ht="10.5" hidden="1">
      <c r="B279" s="16" t="s">
        <v>47</v>
      </c>
      <c r="F279" s="13">
        <f>IF('Текущие цены с учетом расхода'!O19&gt;0,'Текущие цены с учетом расхода'!O19,IF('Текущие цены с учетом расхода'!O19&lt;0,'Текущие цены с учетом расхода'!O19,""))</f>
      </c>
      <c r="L279" s="5" t="s">
        <v>48</v>
      </c>
    </row>
    <row r="280" spans="2:12" ht="10.5" hidden="1">
      <c r="B280" s="16" t="s">
        <v>49</v>
      </c>
      <c r="F280" s="13">
        <f>IF('Текущие цены с учетом расхода'!R19&gt;0,'Текущие цены с учетом расхода'!R19,IF('Текущие цены с учетом расхода'!R19&lt;0,'Текущие цены с учетом расхода'!R19,""))</f>
      </c>
      <c r="L280" s="5" t="s">
        <v>50</v>
      </c>
    </row>
    <row r="281" spans="2:12" ht="10.5" hidden="1">
      <c r="B281" s="16" t="s">
        <v>51</v>
      </c>
      <c r="F281" s="13">
        <f>IF('Текущие цены с учетом расхода'!S19&gt;0,'Текущие цены с учетом расхода'!S19,IF('Текущие цены с учетом расхода'!S19&lt;0,'Текущие цены с учетом расхода'!S19,""))</f>
      </c>
      <c r="L281" s="5" t="s">
        <v>52</v>
      </c>
    </row>
    <row r="282" spans="1:10" ht="10.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4" ht="10.5">
      <c r="A283" s="42" t="s">
        <v>82</v>
      </c>
      <c r="B283" s="43" t="s">
        <v>83</v>
      </c>
      <c r="C283" s="40">
        <v>72</v>
      </c>
      <c r="D283" s="12">
        <f>'Текущие цены за единицу'!B20</f>
        <v>88.22</v>
      </c>
      <c r="E283" s="12">
        <f>'Текущие цены за единицу'!D20</f>
        <v>0</v>
      </c>
      <c r="F283" s="44">
        <f>'Текущие цены с учетом расхода'!B20</f>
        <v>6351.84</v>
      </c>
      <c r="G283" s="44">
        <f>'Текущие цены с учетом расхода'!C20</f>
        <v>6351.84</v>
      </c>
      <c r="H283" s="12">
        <f>'Текущие цены с учетом расхода'!D20</f>
        <v>0</v>
      </c>
      <c r="I283" s="14">
        <v>0.34</v>
      </c>
      <c r="J283" s="14">
        <f>'Текущие цены с учетом расхода'!I20</f>
        <v>24.48</v>
      </c>
      <c r="K283" s="1" t="s">
        <v>26</v>
      </c>
      <c r="L283" s="1" t="s">
        <v>27</v>
      </c>
      <c r="N283" s="44">
        <f>'Текущие цены с учетом расхода'!F20</f>
        <v>0</v>
      </c>
    </row>
    <row r="284" spans="1:14" ht="33" customHeight="1">
      <c r="A284" s="40"/>
      <c r="B284" s="40"/>
      <c r="C284" s="40"/>
      <c r="D284" s="13">
        <f>'Текущие цены за единицу'!C20</f>
        <v>88.22</v>
      </c>
      <c r="E284" s="13">
        <f>'Текущие цены за единицу'!E20</f>
        <v>0</v>
      </c>
      <c r="F284" s="44"/>
      <c r="G284" s="44"/>
      <c r="H284" s="13">
        <f>'Текущие цены с учетом расхода'!E20</f>
        <v>0</v>
      </c>
      <c r="J284" s="1">
        <f>'Текущие цены с учетом расхода'!K20</f>
        <v>0</v>
      </c>
      <c r="K284" s="1" t="s">
        <v>28</v>
      </c>
      <c r="L284" s="1" t="s">
        <v>29</v>
      </c>
      <c r="N284" s="44"/>
    </row>
    <row r="285" ht="10.5">
      <c r="B285" s="15" t="str">
        <f>IF(ROUND((12*6)/1,9)=C283,"Объем: 12*6","")</f>
        <v>Объем: 12*6</v>
      </c>
    </row>
    <row r="286" spans="2:6" ht="10.5" hidden="1">
      <c r="B286" s="16" t="s">
        <v>30</v>
      </c>
      <c r="F286" s="1">
        <v>6351.58</v>
      </c>
    </row>
    <row r="287" ht="10.5" hidden="1">
      <c r="B287" s="16" t="s">
        <v>31</v>
      </c>
    </row>
    <row r="288" ht="10.5" hidden="1">
      <c r="B288" s="16" t="s">
        <v>32</v>
      </c>
    </row>
    <row r="289" ht="10.5" hidden="1">
      <c r="B289" s="16" t="s">
        <v>33</v>
      </c>
    </row>
    <row r="290" ht="21" hidden="1">
      <c r="B290" s="16" t="s">
        <v>34</v>
      </c>
    </row>
    <row r="291" spans="2:12" ht="21" hidden="1">
      <c r="B291" s="16" t="s">
        <v>35</v>
      </c>
      <c r="C291" s="17"/>
      <c r="K291" s="1" t="s">
        <v>36</v>
      </c>
      <c r="L291" s="1" t="s">
        <v>37</v>
      </c>
    </row>
    <row r="292" ht="10.5" hidden="1">
      <c r="B292" s="16" t="s">
        <v>38</v>
      </c>
    </row>
    <row r="293" ht="21" hidden="1">
      <c r="B293" s="16" t="s">
        <v>39</v>
      </c>
    </row>
    <row r="294" ht="10.5" hidden="1">
      <c r="B294" s="16" t="s">
        <v>40</v>
      </c>
    </row>
    <row r="295" spans="2:12" ht="10.5" hidden="1">
      <c r="B295" s="16" t="s">
        <v>41</v>
      </c>
      <c r="C295" s="1">
        <v>76.5</v>
      </c>
      <c r="F295" s="13">
        <f>IF('Текущие цены с учетом расхода'!N20&gt;0,'Текущие цены с учетом расхода'!N20,IF('Текущие цены с учетом расхода'!N20&lt;0,'Текущие цены с учетом расхода'!N20,""))</f>
        <v>4859.16</v>
      </c>
      <c r="L295" s="5" t="s">
        <v>42</v>
      </c>
    </row>
    <row r="296" spans="2:12" ht="10.5" hidden="1">
      <c r="B296" s="16" t="s">
        <v>43</v>
      </c>
      <c r="C296" s="1">
        <v>76.5</v>
      </c>
      <c r="F296" s="13">
        <f>IF('Текущие цены с учетом расхода'!P20&gt;0,'Текущие цены с учетом расхода'!P20,IF('Текущие цены с учетом расхода'!P20&lt;0,'Текущие цены с учетом расхода'!P20,""))</f>
        <v>4859.16</v>
      </c>
      <c r="L296" s="5" t="s">
        <v>44</v>
      </c>
    </row>
    <row r="297" spans="2:12" ht="10.5" hidden="1">
      <c r="B297" s="16" t="s">
        <v>45</v>
      </c>
      <c r="F297" s="13">
        <f>IF('Текущие цены с учетом расхода'!Q20&gt;0,'Текущие цены с учетом расхода'!Q20,IF('Текущие цены с учетом расхода'!Q20&lt;0,'Текущие цены с учетом расхода'!Q20,""))</f>
      </c>
      <c r="L297" s="5" t="s">
        <v>46</v>
      </c>
    </row>
    <row r="298" spans="2:12" ht="10.5" hidden="1">
      <c r="B298" s="16" t="s">
        <v>47</v>
      </c>
      <c r="C298" s="1">
        <v>68</v>
      </c>
      <c r="F298" s="13">
        <f>IF('Текущие цены с учетом расхода'!O20&gt;0,'Текущие цены с учетом расхода'!O20,IF('Текущие цены с учетом расхода'!O20&lt;0,'Текущие цены с учетом расхода'!O20,""))</f>
        <v>4319.25</v>
      </c>
      <c r="L298" s="5" t="s">
        <v>48</v>
      </c>
    </row>
    <row r="299" spans="2:12" ht="10.5" hidden="1">
      <c r="B299" s="16" t="s">
        <v>49</v>
      </c>
      <c r="C299" s="1">
        <v>68</v>
      </c>
      <c r="F299" s="13">
        <f>IF('Текущие цены с учетом расхода'!R20&gt;0,'Текущие цены с учетом расхода'!R20,IF('Текущие цены с учетом расхода'!R20&lt;0,'Текущие цены с учетом расхода'!R20,""))</f>
        <v>4319.25</v>
      </c>
      <c r="L299" s="5" t="s">
        <v>50</v>
      </c>
    </row>
    <row r="300" spans="2:12" ht="10.5" hidden="1">
      <c r="B300" s="16" t="s">
        <v>51</v>
      </c>
      <c r="F300" s="13">
        <f>IF('Текущие цены с учетом расхода'!S20&gt;0,'Текущие цены с учетом расхода'!S20,IF('Текущие цены с учетом расхода'!S20&lt;0,'Текущие цены с учетом расхода'!S20,""))</f>
      </c>
      <c r="L300" s="5" t="s">
        <v>52</v>
      </c>
    </row>
    <row r="301" spans="1:10" ht="10.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4" ht="10.5">
      <c r="A302" s="42" t="s">
        <v>84</v>
      </c>
      <c r="B302" s="43" t="s">
        <v>85</v>
      </c>
      <c r="C302" s="40">
        <v>6</v>
      </c>
      <c r="D302" s="12">
        <f>'Текущие цены за единицу'!B21</f>
        <v>12.06</v>
      </c>
      <c r="E302" s="12">
        <f>'Текущие цены за единицу'!D21</f>
        <v>0</v>
      </c>
      <c r="F302" s="44">
        <f>'Текущие цены с учетом расхода'!B21</f>
        <v>72.36</v>
      </c>
      <c r="G302" s="44">
        <f>'Текущие цены с учетом расхода'!C21</f>
        <v>0</v>
      </c>
      <c r="H302" s="12">
        <f>'Текущие цены с учетом расхода'!D21</f>
        <v>0</v>
      </c>
      <c r="I302" s="14"/>
      <c r="J302" s="14">
        <f>'Текущие цены с учетом расхода'!I21</f>
        <v>0</v>
      </c>
      <c r="K302" s="1" t="s">
        <v>26</v>
      </c>
      <c r="L302" s="1" t="s">
        <v>27</v>
      </c>
      <c r="N302" s="44">
        <f>'Текущие цены с учетом расхода'!F21</f>
        <v>72.36</v>
      </c>
    </row>
    <row r="303" spans="1:14" ht="43.5" customHeight="1">
      <c r="A303" s="40"/>
      <c r="B303" s="40"/>
      <c r="C303" s="40"/>
      <c r="D303" s="13">
        <f>'Текущие цены за единицу'!C21</f>
        <v>0</v>
      </c>
      <c r="E303" s="13">
        <f>'Текущие цены за единицу'!E21</f>
        <v>0</v>
      </c>
      <c r="F303" s="44"/>
      <c r="G303" s="44"/>
      <c r="H303" s="13">
        <f>'Текущие цены с учетом расхода'!E21</f>
        <v>0</v>
      </c>
      <c r="J303" s="1">
        <f>'Текущие цены с учетом расхода'!K21</f>
        <v>0</v>
      </c>
      <c r="K303" s="1" t="s">
        <v>28</v>
      </c>
      <c r="L303" s="1" t="s">
        <v>29</v>
      </c>
      <c r="N303" s="44"/>
    </row>
    <row r="304" ht="10.5">
      <c r="B304" s="15" t="str">
        <f>IF(ROUND((1*6)/1,9)=C302,"Объем: 1,0*6","")</f>
        <v>Объем: 1,0*6</v>
      </c>
    </row>
    <row r="305" ht="10.5" hidden="1">
      <c r="B305" s="16" t="s">
        <v>30</v>
      </c>
    </row>
    <row r="306" ht="10.5" hidden="1">
      <c r="B306" s="16" t="s">
        <v>31</v>
      </c>
    </row>
    <row r="307" ht="10.5" hidden="1">
      <c r="B307" s="16" t="s">
        <v>32</v>
      </c>
    </row>
    <row r="308" spans="2:6" ht="10.5" hidden="1">
      <c r="B308" s="16" t="s">
        <v>33</v>
      </c>
      <c r="F308" s="1">
        <v>72.36</v>
      </c>
    </row>
    <row r="309" ht="21" hidden="1">
      <c r="B309" s="16" t="s">
        <v>34</v>
      </c>
    </row>
    <row r="310" spans="2:12" ht="21" hidden="1">
      <c r="B310" s="16" t="s">
        <v>35</v>
      </c>
      <c r="C310" s="17"/>
      <c r="K310" s="1" t="s">
        <v>36</v>
      </c>
      <c r="L310" s="1" t="s">
        <v>37</v>
      </c>
    </row>
    <row r="311" ht="10.5" hidden="1">
      <c r="B311" s="16" t="s">
        <v>38</v>
      </c>
    </row>
    <row r="312" ht="21" hidden="1">
      <c r="B312" s="16" t="s">
        <v>39</v>
      </c>
    </row>
    <row r="313" ht="10.5" hidden="1">
      <c r="B313" s="16" t="s">
        <v>40</v>
      </c>
    </row>
    <row r="314" spans="2:12" ht="10.5" hidden="1">
      <c r="B314" s="16" t="s">
        <v>41</v>
      </c>
      <c r="F314" s="13">
        <f>IF('Текущие цены с учетом расхода'!N21&gt;0,'Текущие цены с учетом расхода'!N21,IF('Текущие цены с учетом расхода'!N21&lt;0,'Текущие цены с учетом расхода'!N21,""))</f>
      </c>
      <c r="L314" s="5" t="s">
        <v>42</v>
      </c>
    </row>
    <row r="315" spans="2:12" ht="10.5" hidden="1">
      <c r="B315" s="16" t="s">
        <v>43</v>
      </c>
      <c r="F315" s="13">
        <f>IF('Текущие цены с учетом расхода'!P21&gt;0,'Текущие цены с учетом расхода'!P21,IF('Текущие цены с учетом расхода'!P21&lt;0,'Текущие цены с учетом расхода'!P21,""))</f>
      </c>
      <c r="L315" s="5" t="s">
        <v>44</v>
      </c>
    </row>
    <row r="316" spans="2:12" ht="10.5" hidden="1">
      <c r="B316" s="16" t="s">
        <v>45</v>
      </c>
      <c r="F316" s="13">
        <f>IF('Текущие цены с учетом расхода'!Q21&gt;0,'Текущие цены с учетом расхода'!Q21,IF('Текущие цены с учетом расхода'!Q21&lt;0,'Текущие цены с учетом расхода'!Q21,""))</f>
      </c>
      <c r="L316" s="5" t="s">
        <v>46</v>
      </c>
    </row>
    <row r="317" spans="2:12" ht="10.5" hidden="1">
      <c r="B317" s="16" t="s">
        <v>47</v>
      </c>
      <c r="F317" s="13">
        <f>IF('Текущие цены с учетом расхода'!O21&gt;0,'Текущие цены с учетом расхода'!O21,IF('Текущие цены с учетом расхода'!O21&lt;0,'Текущие цены с учетом расхода'!O21,""))</f>
      </c>
      <c r="L317" s="5" t="s">
        <v>48</v>
      </c>
    </row>
    <row r="318" spans="2:12" ht="10.5" hidden="1">
      <c r="B318" s="16" t="s">
        <v>49</v>
      </c>
      <c r="F318" s="13">
        <f>IF('Текущие цены с учетом расхода'!R21&gt;0,'Текущие цены с учетом расхода'!R21,IF('Текущие цены с учетом расхода'!R21&lt;0,'Текущие цены с учетом расхода'!R21,""))</f>
      </c>
      <c r="L318" s="5" t="s">
        <v>50</v>
      </c>
    </row>
    <row r="319" spans="2:12" ht="10.5" hidden="1">
      <c r="B319" s="16" t="s">
        <v>51</v>
      </c>
      <c r="F319" s="13">
        <f>IF('Текущие цены с учетом расхода'!S21&gt;0,'Текущие цены с учетом расхода'!S21,IF('Текущие цены с учетом расхода'!S21&lt;0,'Текущие цены с учетом расхода'!S21,""))</f>
      </c>
      <c r="L319" s="5" t="s">
        <v>52</v>
      </c>
    </row>
    <row r="320" spans="1:10" ht="10.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2:18" ht="10.5">
      <c r="B321" s="19" t="s">
        <v>86</v>
      </c>
      <c r="C321" s="38"/>
      <c r="F321" s="39">
        <f>'Текущие концовки'!F7</f>
        <v>181104.68</v>
      </c>
      <c r="G321" s="39">
        <f>'Текущие концовки'!G7</f>
        <v>31844.61</v>
      </c>
      <c r="H321" s="22">
        <f>'Текущие концовки'!H7</f>
        <v>58508.69</v>
      </c>
      <c r="I321" s="40"/>
      <c r="J321" s="23">
        <f>'Текущие концовки'!J7</f>
        <v>122.2704</v>
      </c>
      <c r="N321" s="39">
        <f>'Текущие концовки'!L7</f>
        <v>90751.38</v>
      </c>
      <c r="R321" s="41">
        <f>'Текущие концовки'!M7</f>
        <v>0</v>
      </c>
    </row>
    <row r="322" spans="3:18" ht="10.5">
      <c r="C322" s="38"/>
      <c r="F322" s="39"/>
      <c r="G322" s="39"/>
      <c r="H322" s="21">
        <f>'Текущие концовки'!I7</f>
        <v>6976.51</v>
      </c>
      <c r="I322" s="40"/>
      <c r="J322" s="7">
        <f>'Текущие концовки'!K7</f>
        <v>20.932896</v>
      </c>
      <c r="N322" s="39"/>
      <c r="R322" s="41"/>
    </row>
    <row r="323" spans="2:18" ht="10.5" hidden="1">
      <c r="B323" s="19" t="s">
        <v>87</v>
      </c>
      <c r="F323" s="21">
        <f>'Текущие концовки'!F8</f>
        <v>0</v>
      </c>
      <c r="G323" s="21">
        <f>'Текущие концовки'!G8</f>
        <v>0</v>
      </c>
      <c r="H323" s="21">
        <f>'Текущие концовки'!H8</f>
        <v>0</v>
      </c>
      <c r="J323" s="7">
        <f>'Текущие концовки'!J8</f>
        <v>0</v>
      </c>
      <c r="N323" s="21">
        <f>'Текущие концовки'!L8</f>
        <v>0</v>
      </c>
      <c r="R323" s="24">
        <f>'Текущие концовки'!M8</f>
        <v>0</v>
      </c>
    </row>
    <row r="324" spans="2:18" ht="10.5" hidden="1">
      <c r="B324" s="19" t="s">
        <v>88</v>
      </c>
      <c r="F324" s="21">
        <f>'Текущие концовки'!F9</f>
        <v>0</v>
      </c>
      <c r="G324" s="21"/>
      <c r="H324" s="21"/>
      <c r="J324" s="7"/>
      <c r="N324" s="21"/>
      <c r="R324" s="24"/>
    </row>
    <row r="325" spans="2:18" ht="10.5" hidden="1">
      <c r="B325" s="19" t="s">
        <v>89</v>
      </c>
      <c r="F325" s="21">
        <f>'Текущие концовки'!F10</f>
        <v>0</v>
      </c>
      <c r="G325" s="21"/>
      <c r="H325" s="21"/>
      <c r="J325" s="7"/>
      <c r="N325" s="21"/>
      <c r="R325" s="24"/>
    </row>
    <row r="326" spans="2:18" ht="10.5" hidden="1">
      <c r="B326" s="19" t="s">
        <v>90</v>
      </c>
      <c r="F326" s="21">
        <f>'Текущие концовки'!F11</f>
        <v>0</v>
      </c>
      <c r="G326" s="21"/>
      <c r="H326" s="21"/>
      <c r="J326" s="7"/>
      <c r="N326" s="21"/>
      <c r="R326" s="24"/>
    </row>
    <row r="327" spans="2:18" ht="10.5" hidden="1">
      <c r="B327" s="19" t="s">
        <v>91</v>
      </c>
      <c r="F327" s="21">
        <f>'Текущие концовки'!F12</f>
        <v>0</v>
      </c>
      <c r="G327" s="21"/>
      <c r="H327" s="21"/>
      <c r="J327" s="7"/>
      <c r="N327" s="21"/>
      <c r="R327" s="24"/>
    </row>
    <row r="328" spans="2:18" ht="10.5" hidden="1">
      <c r="B328" s="19" t="s">
        <v>92</v>
      </c>
      <c r="F328" s="21">
        <f>'Текущие концовки'!F13</f>
        <v>0</v>
      </c>
      <c r="G328" s="21"/>
      <c r="H328" s="21"/>
      <c r="J328" s="7"/>
      <c r="N328" s="21"/>
      <c r="R328" s="24"/>
    </row>
    <row r="329" spans="2:18" ht="10.5" hidden="1">
      <c r="B329" s="19" t="s">
        <v>93</v>
      </c>
      <c r="F329" s="21">
        <f>'Текущие концовки'!F14</f>
        <v>0</v>
      </c>
      <c r="G329" s="21"/>
      <c r="H329" s="21"/>
      <c r="J329" s="7"/>
      <c r="N329" s="21"/>
      <c r="R329" s="24"/>
    </row>
    <row r="330" spans="2:18" ht="10.5" hidden="1">
      <c r="B330" s="19" t="s">
        <v>94</v>
      </c>
      <c r="F330" s="21">
        <f>'Текущие концовки'!F15</f>
        <v>0</v>
      </c>
      <c r="G330" s="21"/>
      <c r="H330" s="21"/>
      <c r="J330" s="7"/>
      <c r="N330" s="21"/>
      <c r="R330" s="24"/>
    </row>
    <row r="331" spans="2:18" ht="10.5" hidden="1">
      <c r="B331" s="19" t="s">
        <v>95</v>
      </c>
      <c r="F331" s="21">
        <f>'Текущие концовки'!F16</f>
        <v>0</v>
      </c>
      <c r="G331" s="21"/>
      <c r="H331" s="21"/>
      <c r="J331" s="7"/>
      <c r="N331" s="21"/>
      <c r="R331" s="24"/>
    </row>
    <row r="332" spans="2:18" ht="10.5" hidden="1">
      <c r="B332" s="19" t="s">
        <v>96</v>
      </c>
      <c r="F332" s="21">
        <f>'Текущие концовки'!F17</f>
        <v>0</v>
      </c>
      <c r="G332" s="21"/>
      <c r="H332" s="21"/>
      <c r="J332" s="7"/>
      <c r="N332" s="21"/>
      <c r="R332" s="24"/>
    </row>
    <row r="333" spans="2:18" ht="10.5" hidden="1">
      <c r="B333" s="19" t="s">
        <v>97</v>
      </c>
      <c r="F333" s="21">
        <f>'Текущие концовки'!F18</f>
        <v>0</v>
      </c>
      <c r="G333" s="21">
        <f>'Текущие концовки'!G18</f>
        <v>0</v>
      </c>
      <c r="H333" s="21">
        <f>'Текущие концовки'!H18</f>
        <v>0</v>
      </c>
      <c r="J333" s="7">
        <f>'Текущие концовки'!J18</f>
        <v>0</v>
      </c>
      <c r="N333" s="21">
        <f>'Текущие концовки'!L18</f>
        <v>0</v>
      </c>
      <c r="R333" s="24">
        <f>'Текущие концовки'!M18</f>
        <v>0</v>
      </c>
    </row>
    <row r="334" spans="2:18" ht="10.5" hidden="1">
      <c r="B334" s="19" t="s">
        <v>98</v>
      </c>
      <c r="F334" s="21"/>
      <c r="G334" s="21"/>
      <c r="H334" s="21"/>
      <c r="J334" s="7"/>
      <c r="N334" s="21"/>
      <c r="R334" s="24"/>
    </row>
    <row r="335" spans="2:18" ht="10.5" hidden="1">
      <c r="B335" s="19" t="s">
        <v>99</v>
      </c>
      <c r="F335" s="21"/>
      <c r="G335" s="21">
        <f>'Текущие концовки'!G20</f>
        <v>0</v>
      </c>
      <c r="H335" s="21"/>
      <c r="J335" s="7"/>
      <c r="N335" s="21"/>
      <c r="R335" s="24"/>
    </row>
    <row r="336" spans="2:18" ht="10.5" hidden="1">
      <c r="B336" s="19" t="s">
        <v>100</v>
      </c>
      <c r="F336" s="21">
        <f>'Текущие концовки'!F21</f>
        <v>0</v>
      </c>
      <c r="G336" s="21"/>
      <c r="H336" s="21"/>
      <c r="J336" s="7"/>
      <c r="N336" s="21"/>
      <c r="R336" s="24"/>
    </row>
    <row r="337" spans="2:18" ht="21" hidden="1">
      <c r="B337" s="19" t="s">
        <v>101</v>
      </c>
      <c r="F337" s="21">
        <f>'Текущие концовки'!F22</f>
        <v>0</v>
      </c>
      <c r="G337" s="21"/>
      <c r="H337" s="21"/>
      <c r="J337" s="7"/>
      <c r="N337" s="21"/>
      <c r="R337" s="24"/>
    </row>
    <row r="338" spans="2:18" ht="10.5" hidden="1">
      <c r="B338" s="19" t="s">
        <v>102</v>
      </c>
      <c r="F338" s="21">
        <f>'Текущие концовки'!F23</f>
        <v>0</v>
      </c>
      <c r="G338" s="21"/>
      <c r="H338" s="21"/>
      <c r="J338" s="7"/>
      <c r="N338" s="21"/>
      <c r="R338" s="24"/>
    </row>
    <row r="339" spans="2:18" ht="10.5" hidden="1">
      <c r="B339" s="19" t="s">
        <v>103</v>
      </c>
      <c r="F339" s="21">
        <f>'Текущие концовки'!F24</f>
        <v>0</v>
      </c>
      <c r="G339" s="21"/>
      <c r="H339" s="21"/>
      <c r="J339" s="7"/>
      <c r="N339" s="21"/>
      <c r="R339" s="24"/>
    </row>
    <row r="340" spans="2:18" ht="10.5" hidden="1">
      <c r="B340" s="19" t="s">
        <v>104</v>
      </c>
      <c r="F340" s="21">
        <f>'Текущие концовки'!F25</f>
        <v>0</v>
      </c>
      <c r="G340" s="21"/>
      <c r="H340" s="21"/>
      <c r="J340" s="7"/>
      <c r="N340" s="21"/>
      <c r="R340" s="24"/>
    </row>
    <row r="341" spans="2:18" ht="10.5" hidden="1">
      <c r="B341" s="19" t="s">
        <v>95</v>
      </c>
      <c r="F341" s="21">
        <f>'Текущие концовки'!F26</f>
        <v>0</v>
      </c>
      <c r="G341" s="21"/>
      <c r="H341" s="21"/>
      <c r="J341" s="7"/>
      <c r="N341" s="21"/>
      <c r="R341" s="24"/>
    </row>
    <row r="342" spans="2:18" ht="10.5" hidden="1">
      <c r="B342" s="19" t="s">
        <v>105</v>
      </c>
      <c r="F342" s="21">
        <f>'Текущие концовки'!F27</f>
        <v>0</v>
      </c>
      <c r="G342" s="21"/>
      <c r="H342" s="21"/>
      <c r="J342" s="7"/>
      <c r="N342" s="21"/>
      <c r="R342" s="24"/>
    </row>
    <row r="343" spans="2:18" ht="10.5">
      <c r="B343" s="19" t="s">
        <v>106</v>
      </c>
      <c r="C343" s="38"/>
      <c r="F343" s="39">
        <f>'Текущие концовки'!F28</f>
        <v>107899.99</v>
      </c>
      <c r="G343" s="39">
        <f>'Текущие концовки'!G28</f>
        <v>6301.84</v>
      </c>
      <c r="H343" s="22">
        <f>'Текущие концовки'!H28</f>
        <v>13216.16</v>
      </c>
      <c r="I343" s="40"/>
      <c r="J343" s="23">
        <f>'Текущие концовки'!J28</f>
        <v>24.696</v>
      </c>
      <c r="N343" s="39">
        <f>'Текущие концовки'!L28</f>
        <v>88381.99</v>
      </c>
      <c r="R343" s="41">
        <f>'Текущие концовки'!M28</f>
        <v>0</v>
      </c>
    </row>
    <row r="344" spans="3:18" ht="10.5">
      <c r="C344" s="38"/>
      <c r="F344" s="39"/>
      <c r="G344" s="39"/>
      <c r="H344" s="21">
        <f>'Текущие концовки'!I28</f>
        <v>2081.59</v>
      </c>
      <c r="I344" s="40"/>
      <c r="J344" s="7">
        <f>'Текущие концовки'!K28</f>
        <v>7.791456</v>
      </c>
      <c r="N344" s="39"/>
      <c r="R344" s="41"/>
    </row>
    <row r="345" spans="2:18" ht="10.5" hidden="1">
      <c r="B345" s="19" t="s">
        <v>98</v>
      </c>
      <c r="F345" s="21"/>
      <c r="G345" s="21"/>
      <c r="H345" s="21"/>
      <c r="J345" s="7"/>
      <c r="N345" s="21"/>
      <c r="R345" s="24"/>
    </row>
    <row r="346" spans="2:18" ht="10.5">
      <c r="B346" s="19" t="s">
        <v>107</v>
      </c>
      <c r="C346" s="20"/>
      <c r="F346" s="21">
        <f>'Текущие концовки'!F30</f>
        <v>81477.42</v>
      </c>
      <c r="G346" s="21"/>
      <c r="H346" s="21"/>
      <c r="J346" s="7"/>
      <c r="N346" s="21"/>
      <c r="R346" s="24"/>
    </row>
    <row r="347" spans="2:18" ht="10.5" hidden="1">
      <c r="B347" s="19" t="s">
        <v>102</v>
      </c>
      <c r="F347" s="21">
        <f>'Текущие концовки'!F31</f>
        <v>0</v>
      </c>
      <c r="G347" s="21"/>
      <c r="H347" s="21"/>
      <c r="J347" s="7"/>
      <c r="N347" s="21"/>
      <c r="R347" s="24"/>
    </row>
    <row r="348" spans="2:18" ht="21">
      <c r="B348" s="19" t="s">
        <v>108</v>
      </c>
      <c r="C348" s="20"/>
      <c r="F348" s="21">
        <f>'Текущие концовки'!F32</f>
        <v>8811.58</v>
      </c>
      <c r="G348" s="21"/>
      <c r="H348" s="21"/>
      <c r="J348" s="7"/>
      <c r="N348" s="21"/>
      <c r="R348" s="24"/>
    </row>
    <row r="349" spans="2:18" ht="21">
      <c r="B349" s="19" t="s">
        <v>109</v>
      </c>
      <c r="C349" s="20"/>
      <c r="F349" s="21">
        <f>'Текущие концовки'!F33</f>
        <v>5379.22</v>
      </c>
      <c r="G349" s="21"/>
      <c r="H349" s="21"/>
      <c r="J349" s="7"/>
      <c r="N349" s="21"/>
      <c r="R349" s="24"/>
    </row>
    <row r="350" spans="2:18" ht="21">
      <c r="B350" s="19" t="s">
        <v>110</v>
      </c>
      <c r="C350" s="20"/>
      <c r="F350" s="21">
        <f>'Текущие концовки'!F34</f>
        <v>122090.79</v>
      </c>
      <c r="G350" s="21"/>
      <c r="H350" s="21"/>
      <c r="J350" s="7"/>
      <c r="N350" s="21"/>
      <c r="R350" s="24"/>
    </row>
    <row r="351" spans="2:18" ht="10.5">
      <c r="B351" s="19" t="s">
        <v>111</v>
      </c>
      <c r="C351" s="38"/>
      <c r="F351" s="39">
        <f>'Текущие концовки'!F35</f>
        <v>55919.38</v>
      </c>
      <c r="G351" s="39">
        <f>'Текущие концовки'!G35</f>
        <v>25542.77</v>
      </c>
      <c r="H351" s="22">
        <f>'Текущие концовки'!H35</f>
        <v>28007.22</v>
      </c>
      <c r="I351" s="40"/>
      <c r="J351" s="23">
        <f>'Текущие концовки'!J35</f>
        <v>97.5744</v>
      </c>
      <c r="N351" s="39">
        <f>'Текущие концовки'!L35</f>
        <v>2369.39</v>
      </c>
      <c r="R351" s="41">
        <f>'Текущие концовки'!M35</f>
        <v>0</v>
      </c>
    </row>
    <row r="352" spans="3:18" ht="10.5">
      <c r="C352" s="38"/>
      <c r="F352" s="39"/>
      <c r="G352" s="39"/>
      <c r="H352" s="21">
        <f>'Текущие концовки'!I35</f>
        <v>4894.92</v>
      </c>
      <c r="I352" s="40"/>
      <c r="J352" s="7">
        <f>'Текущие концовки'!K35</f>
        <v>13.14144</v>
      </c>
      <c r="N352" s="39"/>
      <c r="R352" s="41"/>
    </row>
    <row r="353" spans="2:18" ht="10.5" hidden="1">
      <c r="B353" s="19" t="s">
        <v>102</v>
      </c>
      <c r="F353" s="21">
        <f>'Текущие концовки'!F36</f>
        <v>0</v>
      </c>
      <c r="G353" s="21"/>
      <c r="H353" s="21"/>
      <c r="J353" s="7"/>
      <c r="N353" s="21"/>
      <c r="R353" s="24"/>
    </row>
    <row r="354" spans="2:18" ht="21">
      <c r="B354" s="19" t="s">
        <v>112</v>
      </c>
      <c r="C354" s="20"/>
      <c r="F354" s="21">
        <f>'Текущие концовки'!F37</f>
        <v>23284.84</v>
      </c>
      <c r="G354" s="21"/>
      <c r="H354" s="21"/>
      <c r="J354" s="7"/>
      <c r="N354" s="21"/>
      <c r="R354" s="24"/>
    </row>
    <row r="355" spans="2:18" ht="10.5">
      <c r="B355" s="19" t="s">
        <v>113</v>
      </c>
      <c r="C355" s="20"/>
      <c r="F355" s="21">
        <f>'Текущие концовки'!F38</f>
        <v>20697.63</v>
      </c>
      <c r="G355" s="21"/>
      <c r="H355" s="21"/>
      <c r="J355" s="7"/>
      <c r="N355" s="21"/>
      <c r="R355" s="24"/>
    </row>
    <row r="356" spans="2:18" ht="21">
      <c r="B356" s="19" t="s">
        <v>114</v>
      </c>
      <c r="C356" s="20"/>
      <c r="F356" s="21">
        <f>'Текущие концовки'!F39</f>
        <v>99901.85</v>
      </c>
      <c r="G356" s="21"/>
      <c r="H356" s="21"/>
      <c r="J356" s="7"/>
      <c r="N356" s="21"/>
      <c r="R356" s="24"/>
    </row>
    <row r="357" spans="2:18" ht="10.5" hidden="1">
      <c r="B357" s="19" t="s">
        <v>115</v>
      </c>
      <c r="F357" s="21">
        <f>'Текущие концовки'!F40</f>
        <v>0</v>
      </c>
      <c r="G357" s="21">
        <f>'Текущие концовки'!G40</f>
        <v>0</v>
      </c>
      <c r="H357" s="21">
        <f>'Текущие концовки'!H40</f>
        <v>0</v>
      </c>
      <c r="J357" s="7">
        <f>'Текущие концовки'!J40</f>
        <v>0</v>
      </c>
      <c r="N357" s="21">
        <f>'Текущие концовки'!L40</f>
        <v>0</v>
      </c>
      <c r="R357" s="24">
        <f>'Текущие концовки'!M40</f>
        <v>0</v>
      </c>
    </row>
    <row r="358" spans="2:18" ht="10.5" hidden="1">
      <c r="B358" s="19" t="s">
        <v>98</v>
      </c>
      <c r="F358" s="21"/>
      <c r="G358" s="21"/>
      <c r="H358" s="21"/>
      <c r="J358" s="7"/>
      <c r="N358" s="21"/>
      <c r="R358" s="24"/>
    </row>
    <row r="359" spans="2:18" ht="10.5" hidden="1">
      <c r="B359" s="19" t="s">
        <v>116</v>
      </c>
      <c r="F359" s="21">
        <f>'Текущие концовки'!F42</f>
        <v>0</v>
      </c>
      <c r="G359" s="21">
        <f>'Текущие концовки'!G42</f>
        <v>0</v>
      </c>
      <c r="H359" s="21">
        <f>'Текущие концовки'!H42</f>
        <v>0</v>
      </c>
      <c r="J359" s="7">
        <f>'Текущие концовки'!J42</f>
        <v>0</v>
      </c>
      <c r="N359" s="21">
        <f>'Текущие концовки'!L42</f>
        <v>0</v>
      </c>
      <c r="R359" s="24">
        <f>'Текущие концовки'!M42</f>
        <v>0</v>
      </c>
    </row>
    <row r="360" spans="2:18" ht="10.5" hidden="1">
      <c r="B360" s="19" t="s">
        <v>102</v>
      </c>
      <c r="F360" s="21">
        <f>'Текущие концовки'!F43</f>
        <v>0</v>
      </c>
      <c r="G360" s="21"/>
      <c r="H360" s="21"/>
      <c r="J360" s="7"/>
      <c r="N360" s="21"/>
      <c r="R360" s="24"/>
    </row>
    <row r="361" spans="2:18" ht="10.5" hidden="1">
      <c r="B361" s="19" t="s">
        <v>103</v>
      </c>
      <c r="F361" s="21">
        <f>'Текущие концовки'!F44</f>
        <v>0</v>
      </c>
      <c r="G361" s="21"/>
      <c r="H361" s="21"/>
      <c r="J361" s="7"/>
      <c r="N361" s="21"/>
      <c r="R361" s="24"/>
    </row>
    <row r="362" spans="2:18" ht="10.5" hidden="1">
      <c r="B362" s="19" t="s">
        <v>104</v>
      </c>
      <c r="F362" s="21">
        <f>'Текущие концовки'!F45</f>
        <v>0</v>
      </c>
      <c r="G362" s="21"/>
      <c r="H362" s="21"/>
      <c r="J362" s="7"/>
      <c r="N362" s="21"/>
      <c r="R362" s="24"/>
    </row>
    <row r="363" spans="2:18" ht="10.5" hidden="1">
      <c r="B363" s="19" t="s">
        <v>95</v>
      </c>
      <c r="F363" s="21">
        <f>'Текущие концовки'!F46</f>
        <v>0</v>
      </c>
      <c r="G363" s="21"/>
      <c r="H363" s="21"/>
      <c r="J363" s="7"/>
      <c r="N363" s="21"/>
      <c r="R363" s="24"/>
    </row>
    <row r="364" spans="2:18" ht="10.5" hidden="1">
      <c r="B364" s="19" t="s">
        <v>117</v>
      </c>
      <c r="F364" s="21">
        <f>'Текущие концовки'!F47</f>
        <v>0</v>
      </c>
      <c r="G364" s="21"/>
      <c r="H364" s="21"/>
      <c r="J364" s="7"/>
      <c r="N364" s="21"/>
      <c r="R364" s="24"/>
    </row>
    <row r="365" spans="2:18" ht="10.5" hidden="1">
      <c r="B365" s="19" t="s">
        <v>118</v>
      </c>
      <c r="F365" s="21">
        <f>'Текущие концовки'!F48</f>
        <v>0</v>
      </c>
      <c r="G365" s="21">
        <f>'Текущие концовки'!G48</f>
        <v>0</v>
      </c>
      <c r="H365" s="21">
        <f>'Текущие концовки'!H48</f>
        <v>0</v>
      </c>
      <c r="J365" s="7">
        <f>'Текущие концовки'!J48</f>
        <v>0</v>
      </c>
      <c r="N365" s="21">
        <f>'Текущие концовки'!L48</f>
        <v>0</v>
      </c>
      <c r="R365" s="24">
        <f>'Текущие концовки'!M48</f>
        <v>0</v>
      </c>
    </row>
    <row r="366" spans="2:18" ht="10.5" hidden="1">
      <c r="B366" s="19" t="s">
        <v>102</v>
      </c>
      <c r="F366" s="21">
        <f>'Текущие концовки'!F49</f>
        <v>0</v>
      </c>
      <c r="G366" s="21"/>
      <c r="H366" s="21"/>
      <c r="J366" s="7"/>
      <c r="N366" s="21"/>
      <c r="R366" s="24"/>
    </row>
    <row r="367" spans="2:18" ht="10.5" hidden="1">
      <c r="B367" s="19" t="s">
        <v>103</v>
      </c>
      <c r="F367" s="21">
        <f>'Текущие концовки'!F50</f>
        <v>0</v>
      </c>
      <c r="G367" s="21"/>
      <c r="H367" s="21"/>
      <c r="J367" s="7"/>
      <c r="N367" s="21"/>
      <c r="R367" s="24"/>
    </row>
    <row r="368" spans="2:18" ht="10.5" hidden="1">
      <c r="B368" s="19" t="s">
        <v>104</v>
      </c>
      <c r="F368" s="21">
        <f>'Текущие концовки'!F51</f>
        <v>0</v>
      </c>
      <c r="G368" s="21"/>
      <c r="H368" s="21"/>
      <c r="J368" s="7"/>
      <c r="N368" s="21"/>
      <c r="R368" s="24"/>
    </row>
    <row r="369" spans="2:18" ht="10.5" hidden="1">
      <c r="B369" s="19" t="s">
        <v>119</v>
      </c>
      <c r="F369" s="21">
        <f>'Текущие концовки'!F52</f>
        <v>0</v>
      </c>
      <c r="G369" s="21"/>
      <c r="H369" s="21"/>
      <c r="J369" s="7"/>
      <c r="N369" s="21"/>
      <c r="R369" s="24"/>
    </row>
    <row r="370" spans="2:18" ht="10.5" hidden="1">
      <c r="B370" s="19" t="s">
        <v>120</v>
      </c>
      <c r="F370" s="21">
        <f>'Текущие концовки'!F53</f>
        <v>0</v>
      </c>
      <c r="G370" s="21">
        <f>'Текущие концовки'!G53</f>
        <v>0</v>
      </c>
      <c r="H370" s="21">
        <f>'Текущие концовки'!H53</f>
        <v>0</v>
      </c>
      <c r="J370" s="7">
        <f>'Текущие концовки'!J53</f>
        <v>0</v>
      </c>
      <c r="N370" s="21">
        <f>'Текущие концовки'!L53</f>
        <v>0</v>
      </c>
      <c r="R370" s="24">
        <f>'Текущие концовки'!M53</f>
        <v>0</v>
      </c>
    </row>
    <row r="371" spans="2:18" ht="10.5" hidden="1">
      <c r="B371" s="19" t="s">
        <v>102</v>
      </c>
      <c r="F371" s="21">
        <f>'Текущие концовки'!F54</f>
        <v>0</v>
      </c>
      <c r="G371" s="21"/>
      <c r="H371" s="21"/>
      <c r="J371" s="7"/>
      <c r="N371" s="21"/>
      <c r="R371" s="24"/>
    </row>
    <row r="372" spans="2:18" ht="10.5" hidden="1">
      <c r="B372" s="19" t="s">
        <v>103</v>
      </c>
      <c r="F372" s="21">
        <f>'Текущие концовки'!F55</f>
        <v>0</v>
      </c>
      <c r="G372" s="21"/>
      <c r="H372" s="21"/>
      <c r="J372" s="7"/>
      <c r="N372" s="21"/>
      <c r="R372" s="24"/>
    </row>
    <row r="373" spans="2:18" ht="10.5" hidden="1">
      <c r="B373" s="19" t="s">
        <v>104</v>
      </c>
      <c r="F373" s="21">
        <f>'Текущие концовки'!F56</f>
        <v>0</v>
      </c>
      <c r="G373" s="21"/>
      <c r="H373" s="21"/>
      <c r="J373" s="7"/>
      <c r="N373" s="21"/>
      <c r="R373" s="24"/>
    </row>
    <row r="374" spans="2:18" ht="21" hidden="1">
      <c r="B374" s="19" t="s">
        <v>121</v>
      </c>
      <c r="F374" s="21">
        <f>'Текущие концовки'!F57</f>
        <v>0</v>
      </c>
      <c r="G374" s="21"/>
      <c r="H374" s="21"/>
      <c r="J374" s="7"/>
      <c r="N374" s="21"/>
      <c r="R374" s="24"/>
    </row>
    <row r="375" spans="2:18" ht="10.5" hidden="1">
      <c r="B375" s="19" t="s">
        <v>122</v>
      </c>
      <c r="F375" s="21">
        <f>'Текущие концовки'!F58</f>
        <v>0</v>
      </c>
      <c r="G375" s="21">
        <f>'Текущие концовки'!G58</f>
        <v>0</v>
      </c>
      <c r="H375" s="21">
        <f>'Текущие концовки'!H58</f>
        <v>0</v>
      </c>
      <c r="J375" s="7">
        <f>'Текущие концовки'!J58</f>
        <v>0</v>
      </c>
      <c r="N375" s="21">
        <f>'Текущие концовки'!L58</f>
        <v>0</v>
      </c>
      <c r="R375" s="24">
        <f>'Текущие концовки'!M58</f>
        <v>0</v>
      </c>
    </row>
    <row r="376" spans="2:18" ht="10.5" hidden="1">
      <c r="B376" s="19" t="s">
        <v>98</v>
      </c>
      <c r="F376" s="21"/>
      <c r="G376" s="21"/>
      <c r="H376" s="21"/>
      <c r="J376" s="7"/>
      <c r="N376" s="21"/>
      <c r="R376" s="24"/>
    </row>
    <row r="377" spans="2:18" ht="10.5" hidden="1">
      <c r="B377" s="19" t="s">
        <v>123</v>
      </c>
      <c r="F377" s="21">
        <f>'Текущие концовки'!F60</f>
        <v>81477.42</v>
      </c>
      <c r="G377" s="21"/>
      <c r="H377" s="21"/>
      <c r="J377" s="7"/>
      <c r="N377" s="21"/>
      <c r="R377" s="24"/>
    </row>
    <row r="378" spans="2:18" ht="10.5" hidden="1">
      <c r="B378" s="19" t="s">
        <v>102</v>
      </c>
      <c r="F378" s="21">
        <f>'Текущие концовки'!F61</f>
        <v>0</v>
      </c>
      <c r="G378" s="21"/>
      <c r="H378" s="21"/>
      <c r="J378" s="7"/>
      <c r="N378" s="21"/>
      <c r="R378" s="24"/>
    </row>
    <row r="379" spans="2:18" ht="10.5" hidden="1">
      <c r="B379" s="19" t="s">
        <v>103</v>
      </c>
      <c r="F379" s="21">
        <f>'Текущие концовки'!F62</f>
        <v>0</v>
      </c>
      <c r="G379" s="21"/>
      <c r="H379" s="21"/>
      <c r="J379" s="7"/>
      <c r="N379" s="21"/>
      <c r="R379" s="24"/>
    </row>
    <row r="380" spans="2:18" ht="10.5" hidden="1">
      <c r="B380" s="19" t="s">
        <v>104</v>
      </c>
      <c r="F380" s="21">
        <f>'Текущие концовки'!F63</f>
        <v>0</v>
      </c>
      <c r="G380" s="21"/>
      <c r="H380" s="21"/>
      <c r="J380" s="7"/>
      <c r="N380" s="21"/>
      <c r="R380" s="24"/>
    </row>
    <row r="381" spans="2:18" ht="10.5" hidden="1">
      <c r="B381" s="19" t="s">
        <v>124</v>
      </c>
      <c r="F381" s="21">
        <f>'Текущие концовки'!F64</f>
        <v>0</v>
      </c>
      <c r="G381" s="21"/>
      <c r="H381" s="21"/>
      <c r="J381" s="7"/>
      <c r="N381" s="21"/>
      <c r="R381" s="24"/>
    </row>
    <row r="382" spans="2:18" ht="10.5">
      <c r="B382" s="19" t="s">
        <v>125</v>
      </c>
      <c r="C382" s="20"/>
      <c r="F382" s="21">
        <f>'Текущие концовки'!F65</f>
        <v>17285.31</v>
      </c>
      <c r="G382" s="21">
        <f>'Текущие концовки'!G65</f>
        <v>0</v>
      </c>
      <c r="H382" s="21">
        <f>'Текущие концовки'!H65</f>
        <v>17285.31</v>
      </c>
      <c r="J382" s="7">
        <f>'Текущие концовки'!J65</f>
        <v>0</v>
      </c>
      <c r="N382" s="21">
        <f>'Текущие концовки'!L65</f>
        <v>0</v>
      </c>
      <c r="R382" s="24">
        <f>'Текущие концовки'!M65</f>
        <v>0</v>
      </c>
    </row>
    <row r="383" spans="2:18" ht="10.5" hidden="1">
      <c r="B383" s="19" t="s">
        <v>126</v>
      </c>
      <c r="F383" s="21">
        <f>'Текущие концовки'!F66</f>
        <v>0</v>
      </c>
      <c r="G383" s="21"/>
      <c r="H383" s="21"/>
      <c r="J383" s="7"/>
      <c r="N383" s="21"/>
      <c r="R383" s="24"/>
    </row>
    <row r="384" spans="2:18" ht="10.5" hidden="1">
      <c r="B384" s="19" t="s">
        <v>127</v>
      </c>
      <c r="F384" s="21">
        <f>'Текущие концовки'!F67</f>
        <v>0</v>
      </c>
      <c r="G384" s="21"/>
      <c r="H384" s="21"/>
      <c r="J384" s="7"/>
      <c r="N384" s="21"/>
      <c r="R384" s="24"/>
    </row>
    <row r="385" spans="2:18" ht="10.5" hidden="1">
      <c r="B385" s="19" t="s">
        <v>103</v>
      </c>
      <c r="F385" s="21">
        <f>'Текущие концовки'!F68</f>
        <v>0</v>
      </c>
      <c r="G385" s="21"/>
      <c r="H385" s="21"/>
      <c r="J385" s="7"/>
      <c r="N385" s="21"/>
      <c r="R385" s="24"/>
    </row>
    <row r="386" spans="2:18" ht="10.5" hidden="1">
      <c r="B386" s="19" t="s">
        <v>104</v>
      </c>
      <c r="F386" s="21">
        <f>'Текущие концовки'!F69</f>
        <v>0</v>
      </c>
      <c r="G386" s="21"/>
      <c r="H386" s="21"/>
      <c r="J386" s="7"/>
      <c r="N386" s="21"/>
      <c r="R386" s="24"/>
    </row>
    <row r="387" spans="2:18" ht="10.5">
      <c r="B387" s="19" t="s">
        <v>128</v>
      </c>
      <c r="C387" s="20"/>
      <c r="F387" s="21">
        <f>'Текущие концовки'!F70</f>
        <v>17285.31</v>
      </c>
      <c r="G387" s="21"/>
      <c r="H387" s="21"/>
      <c r="J387" s="7"/>
      <c r="N387" s="21"/>
      <c r="R387" s="24"/>
    </row>
    <row r="388" spans="2:18" ht="10.5" hidden="1">
      <c r="B388" s="19" t="s">
        <v>129</v>
      </c>
      <c r="F388" s="21">
        <f>'Текущие концовки'!F71</f>
        <v>0</v>
      </c>
      <c r="G388" s="21">
        <f>'Текущие концовки'!G71</f>
        <v>0</v>
      </c>
      <c r="H388" s="21">
        <f>'Текущие концовки'!H71</f>
        <v>0</v>
      </c>
      <c r="J388" s="7">
        <f>'Текущие концовки'!J71</f>
        <v>0</v>
      </c>
      <c r="N388" s="21">
        <f>'Текущие концовки'!L71</f>
        <v>0</v>
      </c>
      <c r="R388" s="24">
        <f>'Текущие концовки'!M71</f>
        <v>0</v>
      </c>
    </row>
    <row r="389" spans="2:18" ht="10.5" hidden="1">
      <c r="B389" s="19" t="s">
        <v>103</v>
      </c>
      <c r="F389" s="21">
        <f>'Текущие концовки'!F72</f>
        <v>0</v>
      </c>
      <c r="G389" s="21"/>
      <c r="H389" s="21"/>
      <c r="J389" s="7"/>
      <c r="N389" s="21"/>
      <c r="R389" s="24"/>
    </row>
    <row r="390" spans="2:18" ht="10.5" hidden="1">
      <c r="B390" s="19" t="s">
        <v>104</v>
      </c>
      <c r="F390" s="21">
        <f>'Текущие концовки'!F73</f>
        <v>0</v>
      </c>
      <c r="G390" s="21"/>
      <c r="H390" s="21"/>
      <c r="J390" s="7"/>
      <c r="N390" s="21"/>
      <c r="R390" s="24"/>
    </row>
    <row r="391" spans="2:18" ht="10.5" hidden="1">
      <c r="B391" s="19" t="s">
        <v>130</v>
      </c>
      <c r="F391" s="21">
        <f>'Текущие концовки'!F74</f>
        <v>0</v>
      </c>
      <c r="G391" s="21"/>
      <c r="H391" s="21"/>
      <c r="J391" s="7"/>
      <c r="N391" s="21"/>
      <c r="R391" s="24"/>
    </row>
    <row r="392" spans="2:18" ht="10.5" hidden="1">
      <c r="B392" s="19" t="s">
        <v>131</v>
      </c>
      <c r="F392" s="21">
        <f>'Текущие концовки'!F75</f>
        <v>0</v>
      </c>
      <c r="G392" s="21">
        <f>'Текущие концовки'!G75</f>
        <v>0</v>
      </c>
      <c r="H392" s="21">
        <f>'Текущие концовки'!H75</f>
        <v>0</v>
      </c>
      <c r="J392" s="7">
        <f>'Текущие концовки'!J75</f>
        <v>0</v>
      </c>
      <c r="N392" s="21">
        <f>'Текущие концовки'!L75</f>
        <v>0</v>
      </c>
      <c r="R392" s="24">
        <f>'Текущие концовки'!M75</f>
        <v>0</v>
      </c>
    </row>
    <row r="393" spans="2:18" ht="10.5" hidden="1">
      <c r="B393" s="19" t="s">
        <v>102</v>
      </c>
      <c r="F393" s="21">
        <f>'Текущие концовки'!F76</f>
        <v>0</v>
      </c>
      <c r="G393" s="21"/>
      <c r="H393" s="21"/>
      <c r="J393" s="7"/>
      <c r="N393" s="21"/>
      <c r="R393" s="24"/>
    </row>
    <row r="394" spans="2:18" ht="10.5" hidden="1">
      <c r="B394" s="19" t="s">
        <v>103</v>
      </c>
      <c r="F394" s="21">
        <f>'Текущие концовки'!F77</f>
        <v>0</v>
      </c>
      <c r="G394" s="21"/>
      <c r="H394" s="21"/>
      <c r="J394" s="7"/>
      <c r="N394" s="21"/>
      <c r="R394" s="24"/>
    </row>
    <row r="395" spans="2:18" ht="10.5" hidden="1">
      <c r="B395" s="19" t="s">
        <v>104</v>
      </c>
      <c r="F395" s="21">
        <f>'Текущие концовки'!F78</f>
        <v>0</v>
      </c>
      <c r="G395" s="21"/>
      <c r="H395" s="21"/>
      <c r="J395" s="7"/>
      <c r="N395" s="21"/>
      <c r="R395" s="24"/>
    </row>
    <row r="396" spans="2:18" ht="10.5" hidden="1">
      <c r="B396" s="19" t="s">
        <v>132</v>
      </c>
      <c r="F396" s="21">
        <f>'Текущие концовки'!F79</f>
        <v>0</v>
      </c>
      <c r="G396" s="21"/>
      <c r="H396" s="21"/>
      <c r="J396" s="7"/>
      <c r="N396" s="21"/>
      <c r="R396" s="24"/>
    </row>
    <row r="397" spans="2:18" ht="21" hidden="1">
      <c r="B397" s="19" t="s">
        <v>133</v>
      </c>
      <c r="F397" s="21">
        <f>'Текущие концовки'!F80</f>
        <v>0</v>
      </c>
      <c r="G397" s="21">
        <f>'Текущие концовки'!G80</f>
        <v>0</v>
      </c>
      <c r="H397" s="21">
        <f>'Текущие концовки'!H80</f>
        <v>0</v>
      </c>
      <c r="J397" s="7">
        <f>'Текущие концовки'!J80</f>
        <v>0</v>
      </c>
      <c r="N397" s="21">
        <f>'Текущие концовки'!L80</f>
        <v>0</v>
      </c>
      <c r="R397" s="24">
        <f>'Текущие концовки'!M80</f>
        <v>0</v>
      </c>
    </row>
    <row r="398" spans="2:18" ht="10.5" hidden="1">
      <c r="B398" s="19" t="s">
        <v>102</v>
      </c>
      <c r="F398" s="21">
        <f>'Текущие концовки'!F81</f>
        <v>0</v>
      </c>
      <c r="G398" s="21"/>
      <c r="H398" s="21"/>
      <c r="J398" s="7"/>
      <c r="N398" s="21"/>
      <c r="R398" s="24"/>
    </row>
    <row r="399" spans="2:18" ht="10.5">
      <c r="B399" s="19" t="s">
        <v>134</v>
      </c>
      <c r="C399" s="20"/>
      <c r="F399" s="21">
        <f>'Текущие концовки'!F82</f>
        <v>239277.95</v>
      </c>
      <c r="G399" s="21">
        <f>'Текущие концовки'!G82</f>
        <v>0</v>
      </c>
      <c r="H399" s="21">
        <f>'Текущие концовки'!H82</f>
        <v>0</v>
      </c>
      <c r="J399" s="7">
        <f>'Текущие концовки'!J82</f>
        <v>0</v>
      </c>
      <c r="N399" s="21">
        <f>'Текущие концовки'!L82</f>
        <v>0</v>
      </c>
      <c r="R399" s="24">
        <f>'Текущие концовки'!M82</f>
        <v>0</v>
      </c>
    </row>
    <row r="400" spans="2:18" ht="21" hidden="1">
      <c r="B400" s="19" t="s">
        <v>135</v>
      </c>
      <c r="F400" s="21">
        <f>'Текущие концовки'!F83</f>
        <v>0</v>
      </c>
      <c r="G400" s="21"/>
      <c r="H400" s="21"/>
      <c r="J400" s="7"/>
      <c r="N400" s="21"/>
      <c r="R400" s="24"/>
    </row>
    <row r="401" spans="2:18" ht="10.5" hidden="1">
      <c r="B401" s="19" t="s">
        <v>136</v>
      </c>
      <c r="C401" s="20"/>
      <c r="F401" s="21">
        <f>'Текущие концовки'!F84</f>
        <v>32096.42</v>
      </c>
      <c r="G401" s="21"/>
      <c r="H401" s="21"/>
      <c r="J401" s="7"/>
      <c r="N401" s="21"/>
      <c r="R401" s="24"/>
    </row>
    <row r="402" spans="2:18" ht="10.5" hidden="1">
      <c r="B402" s="19" t="s">
        <v>137</v>
      </c>
      <c r="C402" s="20"/>
      <c r="F402" s="21">
        <f>'Текущие концовки'!F85</f>
        <v>26076.85</v>
      </c>
      <c r="G402" s="21"/>
      <c r="H402" s="21"/>
      <c r="J402" s="7"/>
      <c r="N402" s="21"/>
      <c r="R402" s="24"/>
    </row>
    <row r="403" spans="2:18" ht="21" hidden="1">
      <c r="B403" s="19" t="s">
        <v>34</v>
      </c>
      <c r="F403" s="21">
        <f>'Текущие концовки'!F86</f>
        <v>0</v>
      </c>
      <c r="G403" s="21"/>
      <c r="H403" s="21"/>
      <c r="J403" s="7"/>
      <c r="N403" s="21">
        <f>'Текущие концовки'!L86</f>
        <v>0</v>
      </c>
      <c r="R403" s="24"/>
    </row>
    <row r="404" spans="2:18" ht="10.5" hidden="1">
      <c r="B404" s="19" t="s">
        <v>138</v>
      </c>
      <c r="F404" s="21">
        <f>'Текущие концовки'!F87</f>
        <v>0</v>
      </c>
      <c r="G404" s="21"/>
      <c r="H404" s="21"/>
      <c r="J404" s="7"/>
      <c r="N404" s="21">
        <f>'Текущие концовки'!L87</f>
        <v>0</v>
      </c>
      <c r="R404" s="24"/>
    </row>
    <row r="405" spans="2:18" ht="10.5">
      <c r="B405" s="19" t="s">
        <v>139</v>
      </c>
      <c r="C405" s="20"/>
      <c r="F405" s="21"/>
      <c r="G405" s="21"/>
      <c r="H405" s="21"/>
      <c r="J405" s="7"/>
      <c r="N405" s="21"/>
      <c r="R405" s="24"/>
    </row>
    <row r="406" spans="2:18" ht="10.5" hidden="1">
      <c r="B406" s="19" t="s">
        <v>140</v>
      </c>
      <c r="C406" s="20"/>
      <c r="F406" s="21">
        <f>'Текущие концовки'!F89</f>
        <v>90751.38</v>
      </c>
      <c r="G406" s="21"/>
      <c r="H406" s="21"/>
      <c r="J406" s="7"/>
      <c r="N406" s="21"/>
      <c r="R406" s="24"/>
    </row>
    <row r="407" spans="2:18" ht="10.5">
      <c r="B407" s="19" t="s">
        <v>33</v>
      </c>
      <c r="C407" s="20"/>
      <c r="F407" s="21">
        <f>'Текущие концовки'!F90</f>
        <v>90751.38</v>
      </c>
      <c r="G407" s="21"/>
      <c r="H407" s="21"/>
      <c r="J407" s="7"/>
      <c r="N407" s="21"/>
      <c r="R407" s="24"/>
    </row>
    <row r="408" spans="2:18" ht="10.5" hidden="1">
      <c r="B408" s="19" t="s">
        <v>141</v>
      </c>
      <c r="F408" s="21">
        <f>'Текущие концовки'!F91</f>
        <v>0</v>
      </c>
      <c r="G408" s="21"/>
      <c r="H408" s="21"/>
      <c r="J408" s="7"/>
      <c r="N408" s="21"/>
      <c r="R408" s="24"/>
    </row>
    <row r="409" spans="2:18" ht="10.5">
      <c r="B409" s="19" t="s">
        <v>142</v>
      </c>
      <c r="C409" s="20"/>
      <c r="F409" s="21">
        <f>'Текущие концовки'!F92</f>
        <v>31844.61</v>
      </c>
      <c r="G409" s="21"/>
      <c r="H409" s="21"/>
      <c r="J409" s="7"/>
      <c r="N409" s="21"/>
      <c r="R409" s="24"/>
    </row>
    <row r="410" spans="2:18" ht="10.5">
      <c r="B410" s="19" t="s">
        <v>31</v>
      </c>
      <c r="C410" s="20"/>
      <c r="F410" s="21">
        <f>'Текущие концовки'!F93</f>
        <v>58508.69</v>
      </c>
      <c r="G410" s="21"/>
      <c r="H410" s="21"/>
      <c r="J410" s="7"/>
      <c r="N410" s="21"/>
      <c r="R410" s="24"/>
    </row>
    <row r="411" spans="2:18" ht="10.5">
      <c r="B411" s="19" t="s">
        <v>143</v>
      </c>
      <c r="C411" s="20"/>
      <c r="F411" s="21">
        <f>'Текущие концовки'!F94</f>
        <v>6976.51</v>
      </c>
      <c r="G411" s="21"/>
      <c r="H411" s="21"/>
      <c r="J411" s="7"/>
      <c r="N411" s="21"/>
      <c r="R411" s="24"/>
    </row>
    <row r="412" spans="2:18" ht="10.5" hidden="1">
      <c r="B412" s="19" t="s">
        <v>144</v>
      </c>
      <c r="C412" s="20"/>
      <c r="F412" s="21">
        <f>'Текущие концовки'!F95</f>
        <v>38821.12</v>
      </c>
      <c r="G412" s="21"/>
      <c r="H412" s="21"/>
      <c r="J412" s="7"/>
      <c r="N412" s="21"/>
      <c r="R412" s="24"/>
    </row>
    <row r="413" spans="2:18" ht="10.5" hidden="1">
      <c r="B413" s="19" t="s">
        <v>145</v>
      </c>
      <c r="C413" s="20"/>
      <c r="F413" s="21"/>
      <c r="G413" s="21"/>
      <c r="H413" s="21"/>
      <c r="J413" s="7">
        <f>'Текущие концовки'!J96</f>
        <v>122.2704</v>
      </c>
      <c r="N413" s="21"/>
      <c r="R413" s="24"/>
    </row>
    <row r="414" spans="2:18" ht="10.5" hidden="1">
      <c r="B414" s="19" t="s">
        <v>146</v>
      </c>
      <c r="C414" s="20"/>
      <c r="F414" s="21"/>
      <c r="G414" s="21"/>
      <c r="H414" s="21"/>
      <c r="J414" s="7">
        <f>'Текущие концовки'!J97</f>
        <v>20.932896</v>
      </c>
      <c r="N414" s="21"/>
      <c r="R414" s="24"/>
    </row>
    <row r="415" spans="2:18" ht="10.5" hidden="1">
      <c r="B415" s="19" t="s">
        <v>147</v>
      </c>
      <c r="C415" s="20"/>
      <c r="F415" s="21"/>
      <c r="G415" s="21"/>
      <c r="H415" s="21"/>
      <c r="J415" s="7">
        <f>'Текущие концовки'!J98</f>
        <v>143.203296</v>
      </c>
      <c r="N415" s="21"/>
      <c r="R415" s="24"/>
    </row>
    <row r="416" spans="2:18" ht="10.5">
      <c r="B416" s="19" t="s">
        <v>41</v>
      </c>
      <c r="C416" s="20"/>
      <c r="F416" s="21">
        <f>'Текущие концовки'!F99</f>
        <v>32096.42</v>
      </c>
      <c r="G416" s="21"/>
      <c r="H416" s="21"/>
      <c r="J416" s="7"/>
      <c r="N416" s="21"/>
      <c r="R416" s="24"/>
    </row>
    <row r="417" spans="2:18" ht="10.5">
      <c r="B417" s="19" t="s">
        <v>47</v>
      </c>
      <c r="C417" s="20"/>
      <c r="F417" s="21">
        <f>'Текущие концовки'!F100</f>
        <v>26076.85</v>
      </c>
      <c r="G417" s="21"/>
      <c r="H417" s="21"/>
      <c r="J417" s="7"/>
      <c r="N417" s="21"/>
      <c r="R417" s="24"/>
    </row>
    <row r="418" spans="2:18" ht="10.5">
      <c r="B418" s="19" t="s">
        <v>148</v>
      </c>
      <c r="C418" s="20">
        <v>20</v>
      </c>
      <c r="F418" s="21">
        <f>'Текущие концовки'!F101</f>
        <v>47855.59</v>
      </c>
      <c r="G418" s="21"/>
      <c r="H418" s="21"/>
      <c r="J418" s="7"/>
      <c r="N418" s="21"/>
      <c r="R418" s="24"/>
    </row>
    <row r="419" spans="2:18" ht="10.5">
      <c r="B419" s="19" t="s">
        <v>149</v>
      </c>
      <c r="C419" s="20"/>
      <c r="F419" s="21">
        <f>'Текущие концовки'!F102</f>
        <v>287133.54</v>
      </c>
      <c r="G419" s="21"/>
      <c r="H419" s="21"/>
      <c r="J419" s="7"/>
      <c r="N419" s="21"/>
      <c r="R419" s="24"/>
    </row>
    <row r="421" spans="2:10" ht="10.5">
      <c r="B421" s="4" t="s">
        <v>150</v>
      </c>
      <c r="C421" s="36"/>
      <c r="D421" s="36"/>
      <c r="E421" s="36"/>
      <c r="F421" s="36"/>
      <c r="G421" s="36"/>
      <c r="H421" s="36"/>
      <c r="I421" s="36"/>
      <c r="J421" s="36"/>
    </row>
    <row r="422" spans="3:12" ht="10.5">
      <c r="C422" s="37" t="s">
        <v>151</v>
      </c>
      <c r="D422" s="37"/>
      <c r="E422" s="37"/>
      <c r="F422" s="37"/>
      <c r="G422" s="37"/>
      <c r="H422" s="37"/>
      <c r="I422" s="37"/>
      <c r="J422" s="37"/>
      <c r="K422" s="37"/>
      <c r="L422" s="37"/>
    </row>
    <row r="424" spans="2:10" ht="10.5">
      <c r="B424" s="4" t="s">
        <v>152</v>
      </c>
      <c r="C424" s="36"/>
      <c r="D424" s="36"/>
      <c r="E424" s="36"/>
      <c r="F424" s="36"/>
      <c r="G424" s="36"/>
      <c r="H424" s="36"/>
      <c r="I424" s="36"/>
      <c r="J424" s="36"/>
    </row>
    <row r="425" spans="3:12" ht="10.5">
      <c r="C425" s="37" t="s">
        <v>151</v>
      </c>
      <c r="D425" s="37"/>
      <c r="E425" s="37"/>
      <c r="F425" s="37"/>
      <c r="G425" s="37"/>
      <c r="H425" s="37"/>
      <c r="I425" s="37"/>
      <c r="J425" s="37"/>
      <c r="K425" s="37"/>
      <c r="L425" s="37"/>
    </row>
    <row r="426" ht="10.5">
      <c r="A426" s="25"/>
    </row>
  </sheetData>
  <sheetProtection/>
  <mergeCells count="135">
    <mergeCell ref="F12:F13"/>
    <mergeCell ref="G12:G13"/>
    <mergeCell ref="F11:H11"/>
    <mergeCell ref="C3:J3"/>
    <mergeCell ref="C4:J4"/>
    <mergeCell ref="A5:J5"/>
    <mergeCell ref="A6:J6"/>
    <mergeCell ref="A7:J7"/>
    <mergeCell ref="A9:J9"/>
    <mergeCell ref="H8:I8"/>
    <mergeCell ref="I11:J11"/>
    <mergeCell ref="I12:J12"/>
    <mergeCell ref="A15:A16"/>
    <mergeCell ref="B15:B16"/>
    <mergeCell ref="C15:C16"/>
    <mergeCell ref="G15:G16"/>
    <mergeCell ref="A11:A13"/>
    <mergeCell ref="B11:B13"/>
    <mergeCell ref="C11:C13"/>
    <mergeCell ref="D11:E11"/>
    <mergeCell ref="N15:N16"/>
    <mergeCell ref="F15:F16"/>
    <mergeCell ref="A34:A35"/>
    <mergeCell ref="B34:B35"/>
    <mergeCell ref="C34:C35"/>
    <mergeCell ref="G34:G35"/>
    <mergeCell ref="N34:N35"/>
    <mergeCell ref="F34:F35"/>
    <mergeCell ref="A53:A54"/>
    <mergeCell ref="B53:B54"/>
    <mergeCell ref="C53:C54"/>
    <mergeCell ref="G53:G54"/>
    <mergeCell ref="N53:N54"/>
    <mergeCell ref="F53:F54"/>
    <mergeCell ref="A72:A73"/>
    <mergeCell ref="B72:B73"/>
    <mergeCell ref="C72:C73"/>
    <mergeCell ref="G72:G73"/>
    <mergeCell ref="N72:N73"/>
    <mergeCell ref="F72:F73"/>
    <mergeCell ref="A91:A92"/>
    <mergeCell ref="B91:B92"/>
    <mergeCell ref="C91:C92"/>
    <mergeCell ref="G91:G92"/>
    <mergeCell ref="N91:N92"/>
    <mergeCell ref="F91:F92"/>
    <mergeCell ref="A110:A111"/>
    <mergeCell ref="B110:B111"/>
    <mergeCell ref="C110:C111"/>
    <mergeCell ref="G110:G111"/>
    <mergeCell ref="N110:N111"/>
    <mergeCell ref="F110:F111"/>
    <mergeCell ref="A129:A130"/>
    <mergeCell ref="B129:B130"/>
    <mergeCell ref="C129:C130"/>
    <mergeCell ref="G129:G130"/>
    <mergeCell ref="N129:N130"/>
    <mergeCell ref="F129:F130"/>
    <mergeCell ref="A148:A149"/>
    <mergeCell ref="B148:B149"/>
    <mergeCell ref="C148:C149"/>
    <mergeCell ref="G148:G149"/>
    <mergeCell ref="N148:N149"/>
    <mergeCell ref="F148:F149"/>
    <mergeCell ref="A167:A168"/>
    <mergeCell ref="B167:B168"/>
    <mergeCell ref="C167:C168"/>
    <mergeCell ref="G167:G168"/>
    <mergeCell ref="N167:N168"/>
    <mergeCell ref="F167:F168"/>
    <mergeCell ref="B186:I186"/>
    <mergeCell ref="A188:A189"/>
    <mergeCell ref="B188:B189"/>
    <mergeCell ref="C188:C189"/>
    <mergeCell ref="G188:G189"/>
    <mergeCell ref="N188:N189"/>
    <mergeCell ref="F188:F189"/>
    <mergeCell ref="A207:A208"/>
    <mergeCell ref="B207:B208"/>
    <mergeCell ref="C207:C208"/>
    <mergeCell ref="G207:G208"/>
    <mergeCell ref="N207:N208"/>
    <mergeCell ref="F207:F208"/>
    <mergeCell ref="A226:A227"/>
    <mergeCell ref="B226:B227"/>
    <mergeCell ref="C226:C227"/>
    <mergeCell ref="G226:G227"/>
    <mergeCell ref="N226:N227"/>
    <mergeCell ref="F226:F227"/>
    <mergeCell ref="A245:A246"/>
    <mergeCell ref="B245:B246"/>
    <mergeCell ref="C245:C246"/>
    <mergeCell ref="G245:G246"/>
    <mergeCell ref="N245:N246"/>
    <mergeCell ref="F245:F246"/>
    <mergeCell ref="A264:A265"/>
    <mergeCell ref="B264:B265"/>
    <mergeCell ref="C264:C265"/>
    <mergeCell ref="G264:G265"/>
    <mergeCell ref="N264:N265"/>
    <mergeCell ref="F264:F265"/>
    <mergeCell ref="A283:A284"/>
    <mergeCell ref="B283:B284"/>
    <mergeCell ref="C283:C284"/>
    <mergeCell ref="G283:G284"/>
    <mergeCell ref="N283:N284"/>
    <mergeCell ref="F283:F284"/>
    <mergeCell ref="A302:A303"/>
    <mergeCell ref="B302:B303"/>
    <mergeCell ref="C302:C303"/>
    <mergeCell ref="G302:G303"/>
    <mergeCell ref="N302:N303"/>
    <mergeCell ref="F302:F303"/>
    <mergeCell ref="C321:C322"/>
    <mergeCell ref="F321:F322"/>
    <mergeCell ref="G321:G322"/>
    <mergeCell ref="N321:N322"/>
    <mergeCell ref="I321:I322"/>
    <mergeCell ref="R321:R322"/>
    <mergeCell ref="N351:N352"/>
    <mergeCell ref="I351:I352"/>
    <mergeCell ref="R351:R352"/>
    <mergeCell ref="C343:C344"/>
    <mergeCell ref="F343:F344"/>
    <mergeCell ref="G343:G344"/>
    <mergeCell ref="N343:N344"/>
    <mergeCell ref="I343:I344"/>
    <mergeCell ref="R343:R344"/>
    <mergeCell ref="C421:J421"/>
    <mergeCell ref="C422:L422"/>
    <mergeCell ref="C424:J424"/>
    <mergeCell ref="C425:L425"/>
    <mergeCell ref="C351:C352"/>
    <mergeCell ref="F351:F352"/>
    <mergeCell ref="G351:G352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K2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7" customWidth="1"/>
    <col min="2" max="16384" width="9.140625" style="26" customWidth="1"/>
  </cols>
  <sheetData>
    <row r="1" spans="1:37" s="28" customFormat="1" ht="10.5">
      <c r="A1" s="7"/>
      <c r="B1" s="28" t="s">
        <v>153</v>
      </c>
      <c r="C1" s="28" t="s">
        <v>154</v>
      </c>
      <c r="D1" s="28" t="s">
        <v>155</v>
      </c>
      <c r="E1" s="28" t="s">
        <v>156</v>
      </c>
      <c r="F1" s="28" t="s">
        <v>157</v>
      </c>
      <c r="G1" s="28" t="s">
        <v>158</v>
      </c>
      <c r="H1" s="28" t="s">
        <v>159</v>
      </c>
      <c r="I1" s="28" t="s">
        <v>160</v>
      </c>
      <c r="J1" s="28" t="s">
        <v>161</v>
      </c>
      <c r="K1" s="28" t="s">
        <v>162</v>
      </c>
      <c r="L1" s="28" t="s">
        <v>163</v>
      </c>
      <c r="M1" s="28" t="s">
        <v>164</v>
      </c>
      <c r="N1" s="28" t="s">
        <v>165</v>
      </c>
      <c r="O1" s="28" t="s">
        <v>166</v>
      </c>
      <c r="P1" s="28" t="s">
        <v>167</v>
      </c>
      <c r="Q1" s="28" t="s">
        <v>168</v>
      </c>
      <c r="R1" s="28" t="s">
        <v>169</v>
      </c>
      <c r="S1" s="28" t="s">
        <v>170</v>
      </c>
      <c r="T1" s="28" t="s">
        <v>171</v>
      </c>
      <c r="U1" s="28" t="s">
        <v>172</v>
      </c>
      <c r="V1" s="28" t="s">
        <v>173</v>
      </c>
      <c r="X1" s="28" t="s">
        <v>174</v>
      </c>
      <c r="Y1" s="28" t="s">
        <v>175</v>
      </c>
      <c r="Z1" s="28" t="s">
        <v>176</v>
      </c>
      <c r="AA1" s="28" t="s">
        <v>177</v>
      </c>
      <c r="AB1" s="28" t="s">
        <v>178</v>
      </c>
      <c r="AC1" s="28" t="s">
        <v>179</v>
      </c>
      <c r="AD1" s="28" t="s">
        <v>180</v>
      </c>
      <c r="AE1" s="28" t="s">
        <v>181</v>
      </c>
      <c r="AF1" s="28" t="s">
        <v>182</v>
      </c>
      <c r="AG1" s="28" t="s">
        <v>183</v>
      </c>
      <c r="AH1" s="28" t="s">
        <v>184</v>
      </c>
      <c r="AI1" s="28" t="s">
        <v>185</v>
      </c>
      <c r="AJ1" s="28" t="s">
        <v>186</v>
      </c>
      <c r="AK1" s="28" t="s">
        <v>187</v>
      </c>
    </row>
    <row r="2" spans="1:10" ht="10.5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10.5">
      <c r="A3" s="29"/>
      <c r="B3" s="61" t="s">
        <v>188</v>
      </c>
      <c r="C3" s="61"/>
      <c r="D3" s="61"/>
      <c r="E3" s="61"/>
      <c r="F3" s="61"/>
      <c r="G3" s="61"/>
      <c r="H3" s="61"/>
      <c r="I3" s="61"/>
      <c r="J3" s="61"/>
    </row>
    <row r="4" spans="1:10" ht="10.5">
      <c r="A4" s="29"/>
      <c r="B4" s="61" t="s">
        <v>189</v>
      </c>
      <c r="C4" s="61"/>
      <c r="D4" s="61"/>
      <c r="E4" s="61"/>
      <c r="F4" s="61"/>
      <c r="G4" s="61"/>
      <c r="H4" s="61"/>
      <c r="I4" s="61"/>
      <c r="J4" s="61"/>
    </row>
    <row r="5" spans="1:10" ht="10.5">
      <c r="A5" s="59"/>
      <c r="B5" s="60"/>
      <c r="C5" s="60"/>
      <c r="D5" s="60"/>
      <c r="E5" s="60"/>
      <c r="F5" s="60"/>
      <c r="G5" s="60"/>
      <c r="H5" s="60"/>
      <c r="I5" s="60"/>
      <c r="J5" s="60"/>
    </row>
    <row r="6" spans="1:37" ht="10.5">
      <c r="A6" s="26" t="str">
        <f>'Форма 4'!A15</f>
        <v>1.</v>
      </c>
      <c r="B6" s="26">
        <f aca="true" t="shared" si="0" ref="B6:B21">ROUND(C6+D6+F6+AF6+AG6,2)</f>
        <v>1049.19</v>
      </c>
      <c r="C6" s="26">
        <v>1049.19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7">
        <f>'Форма 4'!I15</f>
        <v>123</v>
      </c>
      <c r="J6" s="27">
        <v>0</v>
      </c>
      <c r="K6" s="27">
        <f>'Форма 4'!I16</f>
        <v>0</v>
      </c>
      <c r="L6" s="26">
        <v>0</v>
      </c>
      <c r="M6" s="26">
        <v>0</v>
      </c>
      <c r="N6" s="26">
        <v>839.352</v>
      </c>
      <c r="O6" s="26">
        <v>472.1355</v>
      </c>
      <c r="P6" s="26">
        <v>839.352</v>
      </c>
      <c r="Q6" s="26">
        <v>0</v>
      </c>
      <c r="R6" s="26">
        <v>472.1355</v>
      </c>
      <c r="S6" s="26">
        <v>0</v>
      </c>
      <c r="T6" s="26">
        <v>0</v>
      </c>
      <c r="U6" s="26">
        <v>0</v>
      </c>
      <c r="V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H6" s="26">
        <v>0</v>
      </c>
      <c r="AI6" s="26">
        <v>0</v>
      </c>
      <c r="AJ6" s="26">
        <v>0</v>
      </c>
      <c r="AK6" s="26">
        <v>0</v>
      </c>
    </row>
    <row r="7" spans="1:37" ht="10.5">
      <c r="A7" s="26" t="str">
        <f>'Форма 4'!A34</f>
        <v>2.</v>
      </c>
      <c r="B7" s="26">
        <f t="shared" si="0"/>
        <v>3.96</v>
      </c>
      <c r="C7" s="26">
        <v>0</v>
      </c>
      <c r="D7" s="26">
        <v>3.96</v>
      </c>
      <c r="E7" s="26">
        <v>0</v>
      </c>
      <c r="F7" s="26">
        <v>0</v>
      </c>
      <c r="G7" s="26">
        <v>0</v>
      </c>
      <c r="H7" s="26">
        <v>0</v>
      </c>
      <c r="I7" s="27">
        <f>'Форма 4'!I34</f>
        <v>0</v>
      </c>
      <c r="J7" s="27">
        <v>0</v>
      </c>
      <c r="K7" s="27">
        <f>'Форма 4'!I35</f>
        <v>0</v>
      </c>
      <c r="L7" s="26">
        <v>0</v>
      </c>
      <c r="M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H7" s="26">
        <v>0</v>
      </c>
      <c r="AI7" s="26">
        <v>0</v>
      </c>
      <c r="AJ7" s="26">
        <v>0</v>
      </c>
      <c r="AK7" s="26">
        <v>0</v>
      </c>
    </row>
    <row r="8" spans="1:37" ht="10.5">
      <c r="A8" s="26" t="str">
        <f>'Форма 4'!A53</f>
        <v>3.</v>
      </c>
      <c r="B8" s="26">
        <f t="shared" si="0"/>
        <v>4.8</v>
      </c>
      <c r="C8" s="26">
        <v>0</v>
      </c>
      <c r="D8" s="26">
        <v>4.8</v>
      </c>
      <c r="E8" s="26">
        <v>0</v>
      </c>
      <c r="F8" s="26">
        <v>0</v>
      </c>
      <c r="G8" s="26">
        <v>0</v>
      </c>
      <c r="H8" s="26">
        <v>0</v>
      </c>
      <c r="I8" s="27">
        <f>'Форма 4'!I53</f>
        <v>0</v>
      </c>
      <c r="J8" s="27">
        <v>0</v>
      </c>
      <c r="K8" s="27">
        <f>'Форма 4'!I54</f>
        <v>0</v>
      </c>
      <c r="L8" s="26">
        <v>0</v>
      </c>
      <c r="M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H8" s="26">
        <v>0</v>
      </c>
      <c r="AI8" s="26">
        <v>0</v>
      </c>
      <c r="AJ8" s="26">
        <v>0</v>
      </c>
      <c r="AK8" s="26">
        <v>0</v>
      </c>
    </row>
    <row r="9" spans="1:37" ht="10.5">
      <c r="A9" s="26" t="str">
        <f>'Форма 4'!A72</f>
        <v>4.</v>
      </c>
      <c r="B9" s="26">
        <f t="shared" si="0"/>
        <v>3390.48</v>
      </c>
      <c r="C9" s="26">
        <v>115.49</v>
      </c>
      <c r="D9" s="26">
        <v>3262.79</v>
      </c>
      <c r="E9" s="26">
        <v>171.22</v>
      </c>
      <c r="F9" s="26">
        <v>12.2</v>
      </c>
      <c r="G9" s="26">
        <v>0</v>
      </c>
      <c r="H9" s="26">
        <v>0</v>
      </c>
      <c r="I9" s="27">
        <f>'Форма 4'!I72</f>
        <v>14.4</v>
      </c>
      <c r="J9" s="27">
        <v>0</v>
      </c>
      <c r="K9" s="27">
        <f>'Форма 4'!I73</f>
        <v>13.88</v>
      </c>
      <c r="L9" s="26">
        <v>0</v>
      </c>
      <c r="M9" s="26">
        <v>0</v>
      </c>
      <c r="N9" s="26">
        <v>407.1282</v>
      </c>
      <c r="O9" s="26">
        <v>272.3745</v>
      </c>
      <c r="P9" s="26">
        <v>163.9958</v>
      </c>
      <c r="Q9" s="26">
        <v>243.1324</v>
      </c>
      <c r="R9" s="26">
        <v>109.7155</v>
      </c>
      <c r="S9" s="26">
        <v>162.659</v>
      </c>
      <c r="T9" s="26">
        <v>0</v>
      </c>
      <c r="U9" s="26">
        <v>0</v>
      </c>
      <c r="V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H9" s="26">
        <v>0</v>
      </c>
      <c r="AI9" s="26">
        <v>0</v>
      </c>
      <c r="AJ9" s="26">
        <v>0</v>
      </c>
      <c r="AK9" s="26">
        <v>0</v>
      </c>
    </row>
    <row r="10" spans="1:37" ht="10.5">
      <c r="A10" s="26" t="str">
        <f>'Форма 4'!A91</f>
        <v>5.</v>
      </c>
      <c r="B10" s="26">
        <f t="shared" si="0"/>
        <v>70.6</v>
      </c>
      <c r="C10" s="26">
        <v>0</v>
      </c>
      <c r="D10" s="26">
        <v>0</v>
      </c>
      <c r="E10" s="26">
        <v>0</v>
      </c>
      <c r="F10" s="26">
        <v>70.6</v>
      </c>
      <c r="G10" s="26">
        <v>40.28</v>
      </c>
      <c r="H10" s="26">
        <v>0</v>
      </c>
      <c r="I10" s="27">
        <f>'Форма 4'!I91</f>
        <v>0</v>
      </c>
      <c r="J10" s="27">
        <v>0</v>
      </c>
      <c r="K10" s="27">
        <f>'Форма 4'!I92</f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H10" s="26">
        <v>0</v>
      </c>
      <c r="AI10" s="26">
        <v>0</v>
      </c>
      <c r="AJ10" s="26">
        <v>0</v>
      </c>
      <c r="AK10" s="26">
        <v>0</v>
      </c>
    </row>
    <row r="11" spans="1:37" ht="10.5">
      <c r="A11" s="26" t="str">
        <f>'Форма 4'!A110</f>
        <v>6.</v>
      </c>
      <c r="B11" s="26">
        <f t="shared" si="0"/>
        <v>5459.07</v>
      </c>
      <c r="C11" s="26">
        <v>173.23</v>
      </c>
      <c r="D11" s="26">
        <v>5268.76</v>
      </c>
      <c r="E11" s="26">
        <v>267.67</v>
      </c>
      <c r="F11" s="26">
        <v>17.08</v>
      </c>
      <c r="G11" s="26">
        <v>0</v>
      </c>
      <c r="H11" s="26">
        <v>0</v>
      </c>
      <c r="I11" s="27">
        <f>'Форма 4'!I110</f>
        <v>21.6</v>
      </c>
      <c r="J11" s="27">
        <v>0</v>
      </c>
      <c r="K11" s="27">
        <f>'Форма 4'!I111</f>
        <v>20.6</v>
      </c>
      <c r="L11" s="26">
        <v>0</v>
      </c>
      <c r="M11" s="26">
        <v>0</v>
      </c>
      <c r="N11" s="26">
        <v>626.078</v>
      </c>
      <c r="O11" s="26">
        <v>418.855</v>
      </c>
      <c r="P11" s="26">
        <v>245.9866</v>
      </c>
      <c r="Q11" s="26">
        <v>380.0914</v>
      </c>
      <c r="R11" s="26">
        <v>164.5685</v>
      </c>
      <c r="S11" s="26">
        <v>254.2865</v>
      </c>
      <c r="T11" s="26">
        <v>0</v>
      </c>
      <c r="U11" s="26">
        <v>0</v>
      </c>
      <c r="V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H11" s="26">
        <v>0</v>
      </c>
      <c r="AI11" s="26">
        <v>0</v>
      </c>
      <c r="AJ11" s="26">
        <v>0</v>
      </c>
      <c r="AK11" s="26">
        <v>0</v>
      </c>
    </row>
    <row r="12" spans="1:37" ht="10.5">
      <c r="A12" s="26" t="str">
        <f>'Форма 4'!A129</f>
        <v>7.</v>
      </c>
      <c r="B12" s="26">
        <f t="shared" si="0"/>
        <v>106.14</v>
      </c>
      <c r="C12" s="26">
        <v>0</v>
      </c>
      <c r="D12" s="26">
        <v>0</v>
      </c>
      <c r="E12" s="26">
        <v>0</v>
      </c>
      <c r="F12" s="26">
        <v>106.14</v>
      </c>
      <c r="G12" s="26">
        <v>73.2</v>
      </c>
      <c r="H12" s="26">
        <v>0</v>
      </c>
      <c r="I12" s="27">
        <f>'Форма 4'!I129</f>
        <v>0</v>
      </c>
      <c r="J12" s="27">
        <v>0</v>
      </c>
      <c r="K12" s="27">
        <f>'Форма 4'!I130</f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H12" s="26">
        <v>0</v>
      </c>
      <c r="AI12" s="26">
        <v>0</v>
      </c>
      <c r="AJ12" s="26">
        <v>0</v>
      </c>
      <c r="AK12" s="26">
        <v>0</v>
      </c>
    </row>
    <row r="13" spans="1:37" ht="10.5">
      <c r="A13" s="26" t="str">
        <f>'Форма 4'!A148</f>
        <v>8.</v>
      </c>
      <c r="B13" s="26">
        <f t="shared" si="0"/>
        <v>9969.59</v>
      </c>
      <c r="C13" s="26">
        <v>1138.32</v>
      </c>
      <c r="D13" s="26">
        <v>7351.55</v>
      </c>
      <c r="E13" s="26">
        <v>699.18</v>
      </c>
      <c r="F13" s="26">
        <v>1479.72</v>
      </c>
      <c r="G13" s="26">
        <v>0</v>
      </c>
      <c r="H13" s="26">
        <v>0</v>
      </c>
      <c r="I13" s="27">
        <f>'Форма 4'!I148</f>
        <v>124</v>
      </c>
      <c r="J13" s="27">
        <v>0</v>
      </c>
      <c r="K13" s="27">
        <f>'Форма 4'!I149</f>
        <v>56.72</v>
      </c>
      <c r="L13" s="26">
        <v>0</v>
      </c>
      <c r="M13" s="26">
        <v>0</v>
      </c>
      <c r="N13" s="26">
        <v>2609.25</v>
      </c>
      <c r="O13" s="26">
        <v>1745.625</v>
      </c>
      <c r="P13" s="26">
        <v>1616.4144</v>
      </c>
      <c r="Q13" s="26">
        <v>992.8356</v>
      </c>
      <c r="R13" s="26">
        <v>1081.404</v>
      </c>
      <c r="S13" s="26">
        <v>664.221</v>
      </c>
      <c r="T13" s="26">
        <v>0</v>
      </c>
      <c r="U13" s="26">
        <v>0</v>
      </c>
      <c r="V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H13" s="26">
        <v>0</v>
      </c>
      <c r="AI13" s="26">
        <v>0</v>
      </c>
      <c r="AJ13" s="26">
        <v>0</v>
      </c>
      <c r="AK13" s="26">
        <v>0</v>
      </c>
    </row>
    <row r="14" spans="1:37" ht="10.5">
      <c r="A14" s="26" t="str">
        <f>'Форма 4'!A167</f>
        <v>9.</v>
      </c>
      <c r="B14" s="26">
        <f t="shared" si="0"/>
        <v>42.92</v>
      </c>
      <c r="C14" s="26">
        <v>0</v>
      </c>
      <c r="D14" s="26">
        <v>42.92</v>
      </c>
      <c r="E14" s="26">
        <v>0</v>
      </c>
      <c r="F14" s="26">
        <v>0</v>
      </c>
      <c r="G14" s="26">
        <v>0</v>
      </c>
      <c r="H14" s="26">
        <v>0</v>
      </c>
      <c r="I14" s="27">
        <f>'Форма 4'!I167</f>
        <v>0</v>
      </c>
      <c r="J14" s="27">
        <v>0</v>
      </c>
      <c r="K14" s="27">
        <f>'Форма 4'!I168</f>
        <v>0</v>
      </c>
      <c r="L14" s="26">
        <v>0</v>
      </c>
      <c r="M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H14" s="26">
        <v>0</v>
      </c>
      <c r="AI14" s="26">
        <v>0</v>
      </c>
      <c r="AJ14" s="26">
        <v>0</v>
      </c>
      <c r="AK14" s="26">
        <v>0</v>
      </c>
    </row>
    <row r="15" spans="1:37" ht="10.5">
      <c r="A15" s="26" t="str">
        <f>'Форма 4'!A188</f>
        <v>10.</v>
      </c>
      <c r="B15" s="26">
        <f t="shared" si="0"/>
        <v>3544.01</v>
      </c>
      <c r="C15" s="26">
        <v>852.58</v>
      </c>
      <c r="D15" s="26">
        <v>2390.59</v>
      </c>
      <c r="E15" s="26">
        <v>229.05</v>
      </c>
      <c r="F15" s="26">
        <v>300.84</v>
      </c>
      <c r="G15" s="26">
        <v>0</v>
      </c>
      <c r="H15" s="26">
        <v>0</v>
      </c>
      <c r="I15" s="27">
        <f>'Форма 4'!I188</f>
        <v>94</v>
      </c>
      <c r="J15" s="27">
        <v>0</v>
      </c>
      <c r="K15" s="27">
        <f>'Форма 4'!I189</f>
        <v>16.9</v>
      </c>
      <c r="L15" s="26">
        <v>0</v>
      </c>
      <c r="M15" s="26">
        <v>0</v>
      </c>
      <c r="N15" s="26">
        <v>973.467</v>
      </c>
      <c r="O15" s="26">
        <v>919.3855</v>
      </c>
      <c r="P15" s="26">
        <v>767.322</v>
      </c>
      <c r="Q15" s="26">
        <v>206.145</v>
      </c>
      <c r="R15" s="26">
        <v>724.693</v>
      </c>
      <c r="S15" s="26">
        <v>194.6925</v>
      </c>
      <c r="T15" s="26">
        <v>0</v>
      </c>
      <c r="U15" s="26">
        <v>0</v>
      </c>
      <c r="V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H15" s="26">
        <v>0</v>
      </c>
      <c r="AI15" s="26">
        <v>0</v>
      </c>
      <c r="AJ15" s="26">
        <v>0</v>
      </c>
      <c r="AK15" s="26">
        <v>0</v>
      </c>
    </row>
    <row r="16" spans="1:37" ht="10.5">
      <c r="A16" s="26" t="str">
        <f>'Форма 4'!A207</f>
        <v>11.</v>
      </c>
      <c r="B16" s="26">
        <f t="shared" si="0"/>
        <v>5209.02</v>
      </c>
      <c r="C16" s="26">
        <v>0</v>
      </c>
      <c r="D16" s="26">
        <v>0</v>
      </c>
      <c r="E16" s="26">
        <v>0</v>
      </c>
      <c r="F16" s="26">
        <v>5209.02</v>
      </c>
      <c r="G16" s="26">
        <v>5072.71</v>
      </c>
      <c r="H16" s="26">
        <v>0</v>
      </c>
      <c r="I16" s="27">
        <f>'Форма 4'!I207</f>
        <v>0</v>
      </c>
      <c r="J16" s="27">
        <v>0</v>
      </c>
      <c r="K16" s="27">
        <f>'Форма 4'!I208</f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H16" s="26">
        <v>0</v>
      </c>
      <c r="AI16" s="26">
        <v>0</v>
      </c>
      <c r="AJ16" s="26">
        <v>0</v>
      </c>
      <c r="AK16" s="26">
        <v>0</v>
      </c>
    </row>
    <row r="17" spans="1:37" ht="10.5">
      <c r="A17" s="26" t="str">
        <f>'Форма 4'!A226</f>
        <v>12.</v>
      </c>
      <c r="B17" s="26">
        <f t="shared" si="0"/>
        <v>70.28</v>
      </c>
      <c r="C17" s="26">
        <v>0</v>
      </c>
      <c r="D17" s="26">
        <v>0</v>
      </c>
      <c r="E17" s="26">
        <v>0</v>
      </c>
      <c r="F17" s="26">
        <v>70.28</v>
      </c>
      <c r="G17" s="26">
        <v>68.64</v>
      </c>
      <c r="H17" s="26">
        <v>0</v>
      </c>
      <c r="I17" s="27">
        <f>'Форма 4'!I226</f>
        <v>0</v>
      </c>
      <c r="J17" s="27">
        <v>0</v>
      </c>
      <c r="K17" s="27">
        <f>'Форма 4'!I227</f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H17" s="26">
        <v>0</v>
      </c>
      <c r="AI17" s="26">
        <v>0</v>
      </c>
      <c r="AJ17" s="26">
        <v>0</v>
      </c>
      <c r="AK17" s="26">
        <v>0</v>
      </c>
    </row>
    <row r="18" spans="1:37" ht="10.5">
      <c r="A18" s="26" t="str">
        <f>'Форма 4'!A245</f>
        <v>13.</v>
      </c>
      <c r="B18" s="26">
        <f t="shared" si="0"/>
        <v>35011</v>
      </c>
      <c r="C18" s="26">
        <v>0</v>
      </c>
      <c r="D18" s="26">
        <v>0</v>
      </c>
      <c r="E18" s="26">
        <v>0</v>
      </c>
      <c r="F18" s="26">
        <v>35011</v>
      </c>
      <c r="G18" s="26">
        <v>34286.24</v>
      </c>
      <c r="H18" s="26">
        <v>0</v>
      </c>
      <c r="I18" s="27">
        <f>'Форма 4'!I245</f>
        <v>0</v>
      </c>
      <c r="J18" s="27">
        <v>0</v>
      </c>
      <c r="K18" s="27">
        <f>'Форма 4'!I246</f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H18" s="26">
        <v>0</v>
      </c>
      <c r="AI18" s="26">
        <v>0</v>
      </c>
      <c r="AJ18" s="26">
        <v>0</v>
      </c>
      <c r="AK18" s="26">
        <v>0</v>
      </c>
    </row>
    <row r="19" spans="1:37" ht="10.5">
      <c r="A19" s="26" t="str">
        <f>'Форма 4'!A264</f>
        <v>14.</v>
      </c>
      <c r="B19" s="26">
        <f t="shared" si="0"/>
        <v>52.17</v>
      </c>
      <c r="C19" s="26">
        <v>0</v>
      </c>
      <c r="D19" s="26">
        <v>0</v>
      </c>
      <c r="E19" s="26">
        <v>0</v>
      </c>
      <c r="F19" s="26">
        <v>52.17</v>
      </c>
      <c r="G19" s="26">
        <v>0</v>
      </c>
      <c r="H19" s="26">
        <v>0</v>
      </c>
      <c r="I19" s="27">
        <f>'Форма 4'!I264</f>
        <v>0</v>
      </c>
      <c r="J19" s="27">
        <v>0</v>
      </c>
      <c r="K19" s="27">
        <f>'Форма 4'!I265</f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H19" s="26">
        <v>0</v>
      </c>
      <c r="AI19" s="26">
        <v>0</v>
      </c>
      <c r="AJ19" s="26">
        <v>0</v>
      </c>
      <c r="AK19" s="26">
        <v>0</v>
      </c>
    </row>
    <row r="20" spans="1:37" ht="10.5">
      <c r="A20" s="26" t="str">
        <f>'Форма 4'!A283</f>
        <v>15.</v>
      </c>
      <c r="B20" s="26">
        <f t="shared" si="0"/>
        <v>3.05</v>
      </c>
      <c r="C20" s="26">
        <v>3.05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>
        <f>'Форма 4'!I283</f>
        <v>0.34</v>
      </c>
      <c r="J20" s="27">
        <v>0</v>
      </c>
      <c r="K20" s="27">
        <f>'Форма 4'!I284</f>
        <v>0</v>
      </c>
      <c r="L20" s="26">
        <v>0</v>
      </c>
      <c r="M20" s="26">
        <v>0</v>
      </c>
      <c r="N20" s="26">
        <v>2.745</v>
      </c>
      <c r="O20" s="26">
        <v>2.5925</v>
      </c>
      <c r="P20" s="26">
        <v>2.745</v>
      </c>
      <c r="Q20" s="26">
        <v>0</v>
      </c>
      <c r="R20" s="26">
        <v>2.5925</v>
      </c>
      <c r="S20" s="26">
        <v>0</v>
      </c>
      <c r="T20" s="26">
        <v>0</v>
      </c>
      <c r="U20" s="26">
        <v>0</v>
      </c>
      <c r="V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H20" s="26">
        <v>0</v>
      </c>
      <c r="AI20" s="26">
        <v>0</v>
      </c>
      <c r="AJ20" s="26">
        <v>0</v>
      </c>
      <c r="AK20" s="26">
        <v>0</v>
      </c>
    </row>
    <row r="21" spans="1:37" ht="10.5">
      <c r="A21" s="26" t="str">
        <f>'Форма 4'!A302</f>
        <v>16.</v>
      </c>
      <c r="B21" s="26">
        <f t="shared" si="0"/>
        <v>12.03</v>
      </c>
      <c r="C21" s="26">
        <v>0</v>
      </c>
      <c r="D21" s="26">
        <v>0</v>
      </c>
      <c r="E21" s="26">
        <v>0</v>
      </c>
      <c r="F21" s="26">
        <v>12.03</v>
      </c>
      <c r="G21" s="26">
        <v>0</v>
      </c>
      <c r="H21" s="26">
        <v>0</v>
      </c>
      <c r="I21" s="27">
        <f>'Форма 4'!I302</f>
        <v>0</v>
      </c>
      <c r="J21" s="27">
        <v>0</v>
      </c>
      <c r="K21" s="27">
        <f>'Форма 4'!I303</f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H21" s="26">
        <v>0</v>
      </c>
      <c r="AI21" s="26">
        <v>0</v>
      </c>
      <c r="AJ21" s="26">
        <v>0</v>
      </c>
      <c r="AK21" s="26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K2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7" customWidth="1"/>
    <col min="2" max="16384" width="9.140625" style="26" customWidth="1"/>
  </cols>
  <sheetData>
    <row r="1" spans="1:37" s="28" customFormat="1" ht="10.5">
      <c r="A1" s="7"/>
      <c r="B1" s="28" t="s">
        <v>153</v>
      </c>
      <c r="C1" s="28" t="s">
        <v>154</v>
      </c>
      <c r="D1" s="28" t="s">
        <v>155</v>
      </c>
      <c r="E1" s="28" t="s">
        <v>156</v>
      </c>
      <c r="F1" s="28" t="s">
        <v>157</v>
      </c>
      <c r="G1" s="28" t="s">
        <v>158</v>
      </c>
      <c r="H1" s="28" t="s">
        <v>159</v>
      </c>
      <c r="I1" s="28" t="s">
        <v>160</v>
      </c>
      <c r="J1" s="28" t="s">
        <v>161</v>
      </c>
      <c r="K1" s="28" t="s">
        <v>162</v>
      </c>
      <c r="L1" s="28" t="s">
        <v>163</v>
      </c>
      <c r="M1" s="28" t="s">
        <v>164</v>
      </c>
      <c r="N1" s="28" t="s">
        <v>165</v>
      </c>
      <c r="O1" s="28" t="s">
        <v>166</v>
      </c>
      <c r="P1" s="28" t="s">
        <v>167</v>
      </c>
      <c r="Q1" s="28" t="s">
        <v>168</v>
      </c>
      <c r="R1" s="28" t="s">
        <v>169</v>
      </c>
      <c r="S1" s="28" t="s">
        <v>170</v>
      </c>
      <c r="T1" s="28" t="s">
        <v>171</v>
      </c>
      <c r="U1" s="28" t="s">
        <v>172</v>
      </c>
      <c r="V1" s="28" t="s">
        <v>173</v>
      </c>
      <c r="X1" s="28" t="s">
        <v>174</v>
      </c>
      <c r="Y1" s="28" t="s">
        <v>175</v>
      </c>
      <c r="Z1" s="28" t="s">
        <v>176</v>
      </c>
      <c r="AA1" s="28" t="s">
        <v>177</v>
      </c>
      <c r="AB1" s="28" t="s">
        <v>178</v>
      </c>
      <c r="AC1" s="28" t="s">
        <v>179</v>
      </c>
      <c r="AD1" s="28" t="s">
        <v>180</v>
      </c>
      <c r="AE1" s="28" t="s">
        <v>181</v>
      </c>
      <c r="AF1" s="28" t="s">
        <v>182</v>
      </c>
      <c r="AG1" s="28" t="s">
        <v>183</v>
      </c>
      <c r="AH1" s="28" t="s">
        <v>184</v>
      </c>
      <c r="AI1" s="28" t="s">
        <v>185</v>
      </c>
      <c r="AJ1" s="28" t="s">
        <v>186</v>
      </c>
      <c r="AK1" s="28" t="s">
        <v>187</v>
      </c>
    </row>
    <row r="2" spans="1:10" ht="10.5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10.5">
      <c r="A3" s="29"/>
      <c r="B3" s="61" t="s">
        <v>188</v>
      </c>
      <c r="C3" s="61"/>
      <c r="D3" s="61"/>
      <c r="E3" s="61"/>
      <c r="F3" s="61"/>
      <c r="G3" s="61"/>
      <c r="H3" s="61"/>
      <c r="I3" s="61"/>
      <c r="J3" s="61"/>
    </row>
    <row r="4" spans="1:10" ht="10.5">
      <c r="A4" s="29"/>
      <c r="B4" s="61" t="s">
        <v>189</v>
      </c>
      <c r="C4" s="61"/>
      <c r="D4" s="61"/>
      <c r="E4" s="61"/>
      <c r="F4" s="61"/>
      <c r="G4" s="61"/>
      <c r="H4" s="61"/>
      <c r="I4" s="61"/>
      <c r="J4" s="61"/>
    </row>
    <row r="5" spans="1:10" ht="10.5">
      <c r="A5" s="59"/>
      <c r="B5" s="60"/>
      <c r="C5" s="60"/>
      <c r="D5" s="60"/>
      <c r="E5" s="60"/>
      <c r="F5" s="60"/>
      <c r="G5" s="60"/>
      <c r="H5" s="60"/>
      <c r="I5" s="60"/>
      <c r="J5" s="60"/>
    </row>
    <row r="6" spans="1:37" ht="10.5">
      <c r="A6" s="26" t="str">
        <f>'Форма 4'!A15</f>
        <v>1.</v>
      </c>
      <c r="B6" s="26">
        <f aca="true" t="shared" si="0" ref="B6:B21">ROUND(C6+D6+F6+AF6+AG6,2)</f>
        <v>30398.22</v>
      </c>
      <c r="C6" s="26">
        <v>30398.22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7">
        <f>'Форма 4'!I15</f>
        <v>123</v>
      </c>
      <c r="J6" s="27">
        <v>0</v>
      </c>
      <c r="K6" s="27">
        <f>'Форма 4'!I16</f>
        <v>0</v>
      </c>
      <c r="L6" s="26">
        <v>0</v>
      </c>
      <c r="M6" s="26">
        <v>0</v>
      </c>
      <c r="N6" s="26">
        <v>20670.7896</v>
      </c>
      <c r="O6" s="26">
        <v>10943.3592</v>
      </c>
      <c r="P6" s="26">
        <v>20670.7896</v>
      </c>
      <c r="Q6" s="26">
        <v>0</v>
      </c>
      <c r="R6" s="26">
        <v>10943.3592</v>
      </c>
      <c r="S6" s="26">
        <v>0</v>
      </c>
      <c r="T6" s="26">
        <v>0</v>
      </c>
      <c r="U6" s="26">
        <v>0</v>
      </c>
      <c r="V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H6" s="26">
        <v>0</v>
      </c>
      <c r="AI6" s="26">
        <v>0</v>
      </c>
      <c r="AJ6" s="26">
        <v>0</v>
      </c>
      <c r="AK6" s="26">
        <v>0</v>
      </c>
    </row>
    <row r="7" spans="1:37" ht="10.5">
      <c r="A7" s="26" t="str">
        <f>'Форма 4'!A34</f>
        <v>2.</v>
      </c>
      <c r="B7" s="26">
        <f t="shared" si="0"/>
        <v>71.88</v>
      </c>
      <c r="C7" s="26">
        <v>0</v>
      </c>
      <c r="D7" s="26">
        <v>71.88</v>
      </c>
      <c r="E7" s="26">
        <v>0</v>
      </c>
      <c r="F7" s="26">
        <v>0</v>
      </c>
      <c r="G7" s="26">
        <v>0</v>
      </c>
      <c r="H7" s="26">
        <v>0</v>
      </c>
      <c r="I7" s="27">
        <f>'Форма 4'!I34</f>
        <v>0</v>
      </c>
      <c r="J7" s="27">
        <v>0</v>
      </c>
      <c r="K7" s="27">
        <f>'Форма 4'!I35</f>
        <v>0</v>
      </c>
      <c r="L7" s="26">
        <v>0</v>
      </c>
      <c r="M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H7" s="26">
        <v>0</v>
      </c>
      <c r="AI7" s="26">
        <v>0</v>
      </c>
      <c r="AJ7" s="26">
        <v>0</v>
      </c>
      <c r="AK7" s="26">
        <v>0</v>
      </c>
    </row>
    <row r="8" spans="1:37" ht="10.5">
      <c r="A8" s="26" t="str">
        <f>'Форма 4'!A53</f>
        <v>3.</v>
      </c>
      <c r="B8" s="26">
        <f t="shared" si="0"/>
        <v>65.49</v>
      </c>
      <c r="C8" s="26">
        <v>0</v>
      </c>
      <c r="D8" s="26">
        <v>65.49</v>
      </c>
      <c r="E8" s="26">
        <v>0</v>
      </c>
      <c r="F8" s="26">
        <v>0</v>
      </c>
      <c r="G8" s="26">
        <v>0</v>
      </c>
      <c r="H8" s="26">
        <v>0</v>
      </c>
      <c r="I8" s="27">
        <f>'Форма 4'!I53</f>
        <v>0</v>
      </c>
      <c r="J8" s="27">
        <v>0</v>
      </c>
      <c r="K8" s="27">
        <f>'Форма 4'!I54</f>
        <v>0</v>
      </c>
      <c r="L8" s="26">
        <v>0</v>
      </c>
      <c r="M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H8" s="26">
        <v>0</v>
      </c>
      <c r="AI8" s="26">
        <v>0</v>
      </c>
      <c r="AJ8" s="26">
        <v>0</v>
      </c>
      <c r="AK8" s="26">
        <v>0</v>
      </c>
    </row>
    <row r="9" spans="1:37" ht="10.5">
      <c r="A9" s="26" t="str">
        <f>'Форма 4'!A72</f>
        <v>4.</v>
      </c>
      <c r="B9" s="26">
        <f t="shared" si="0"/>
        <v>31960.69</v>
      </c>
      <c r="C9" s="26">
        <v>3341.23</v>
      </c>
      <c r="D9" s="26">
        <v>28424.51</v>
      </c>
      <c r="E9" s="26">
        <v>5170.02</v>
      </c>
      <c r="F9" s="26">
        <v>194.95</v>
      </c>
      <c r="G9" s="26">
        <v>0</v>
      </c>
      <c r="H9" s="26">
        <v>0</v>
      </c>
      <c r="I9" s="27">
        <f>'Форма 4'!I72</f>
        <v>14.4</v>
      </c>
      <c r="J9" s="27">
        <v>0</v>
      </c>
      <c r="K9" s="27">
        <f>'Форма 4'!I73</f>
        <v>13.88</v>
      </c>
      <c r="L9" s="26">
        <v>0</v>
      </c>
      <c r="M9" s="26">
        <v>0</v>
      </c>
      <c r="N9" s="26">
        <v>10273.07875</v>
      </c>
      <c r="O9" s="26">
        <v>6468.55</v>
      </c>
      <c r="P9" s="26">
        <v>4032.86461</v>
      </c>
      <c r="Q9" s="26">
        <v>6240.21414</v>
      </c>
      <c r="R9" s="26">
        <v>2539.3348</v>
      </c>
      <c r="S9" s="26">
        <v>3929.2152</v>
      </c>
      <c r="T9" s="26">
        <v>0</v>
      </c>
      <c r="U9" s="26">
        <v>0</v>
      </c>
      <c r="V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H9" s="26">
        <v>0</v>
      </c>
      <c r="AI9" s="26">
        <v>0</v>
      </c>
      <c r="AJ9" s="26">
        <v>0</v>
      </c>
      <c r="AK9" s="26">
        <v>0</v>
      </c>
    </row>
    <row r="10" spans="1:37" ht="10.5">
      <c r="A10" s="26" t="str">
        <f>'Форма 4'!A91</f>
        <v>5.</v>
      </c>
      <c r="B10" s="26">
        <f t="shared" si="0"/>
        <v>855.36</v>
      </c>
      <c r="C10" s="26">
        <v>0</v>
      </c>
      <c r="D10" s="26">
        <v>0</v>
      </c>
      <c r="E10" s="26">
        <v>0</v>
      </c>
      <c r="F10" s="26">
        <v>855.36</v>
      </c>
      <c r="G10" s="26">
        <v>0</v>
      </c>
      <c r="H10" s="26">
        <v>0</v>
      </c>
      <c r="I10" s="27">
        <f>'Форма 4'!I91</f>
        <v>0</v>
      </c>
      <c r="J10" s="27">
        <v>0</v>
      </c>
      <c r="K10" s="27">
        <f>'Форма 4'!I92</f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H10" s="26">
        <v>0</v>
      </c>
      <c r="AI10" s="26">
        <v>0</v>
      </c>
      <c r="AJ10" s="26">
        <v>0</v>
      </c>
      <c r="AK10" s="26">
        <v>0</v>
      </c>
    </row>
    <row r="11" spans="1:37" ht="10.5">
      <c r="A11" s="26" t="str">
        <f>'Форма 4'!A110</f>
        <v>6.</v>
      </c>
      <c r="B11" s="26">
        <f t="shared" si="0"/>
        <v>47505.04</v>
      </c>
      <c r="C11" s="26">
        <v>5011.85</v>
      </c>
      <c r="D11" s="26">
        <v>42220.26</v>
      </c>
      <c r="E11" s="26">
        <v>6708.36</v>
      </c>
      <c r="F11" s="26">
        <v>272.93</v>
      </c>
      <c r="G11" s="26">
        <v>0</v>
      </c>
      <c r="H11" s="26">
        <v>0</v>
      </c>
      <c r="I11" s="27">
        <f>'Форма 4'!I110</f>
        <v>21.6</v>
      </c>
      <c r="J11" s="27">
        <v>0</v>
      </c>
      <c r="K11" s="27">
        <f>'Форма 4'!I111</f>
        <v>20.6</v>
      </c>
      <c r="L11" s="26">
        <v>0</v>
      </c>
      <c r="M11" s="26">
        <v>0</v>
      </c>
      <c r="N11" s="26">
        <v>14146.29347</v>
      </c>
      <c r="O11" s="26">
        <v>8907.3596</v>
      </c>
      <c r="P11" s="26">
        <v>6049.30295</v>
      </c>
      <c r="Q11" s="26">
        <v>8096.99052</v>
      </c>
      <c r="R11" s="26">
        <v>3809.006</v>
      </c>
      <c r="S11" s="26">
        <v>5098.3536</v>
      </c>
      <c r="T11" s="26">
        <v>0</v>
      </c>
      <c r="U11" s="26">
        <v>0</v>
      </c>
      <c r="V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H11" s="26">
        <v>0</v>
      </c>
      <c r="AI11" s="26">
        <v>0</v>
      </c>
      <c r="AJ11" s="26">
        <v>0</v>
      </c>
      <c r="AK11" s="26">
        <v>0</v>
      </c>
    </row>
    <row r="12" spans="1:37" ht="10.5">
      <c r="A12" s="26" t="str">
        <f>'Форма 4'!A129</f>
        <v>7.</v>
      </c>
      <c r="B12" s="26">
        <f t="shared" si="0"/>
        <v>2038.76</v>
      </c>
      <c r="C12" s="26">
        <v>0</v>
      </c>
      <c r="D12" s="26">
        <v>0</v>
      </c>
      <c r="E12" s="26">
        <v>0</v>
      </c>
      <c r="F12" s="26">
        <v>2038.76</v>
      </c>
      <c r="G12" s="26">
        <v>0</v>
      </c>
      <c r="H12" s="26">
        <v>0</v>
      </c>
      <c r="I12" s="27">
        <f>'Форма 4'!I129</f>
        <v>0</v>
      </c>
      <c r="J12" s="27">
        <v>0</v>
      </c>
      <c r="K12" s="27">
        <f>'Форма 4'!I130</f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H12" s="26">
        <v>0</v>
      </c>
      <c r="AI12" s="26">
        <v>0</v>
      </c>
      <c r="AJ12" s="26">
        <v>0</v>
      </c>
      <c r="AK12" s="26">
        <v>0</v>
      </c>
    </row>
    <row r="13" spans="1:37" ht="10.5">
      <c r="A13" s="26" t="str">
        <f>'Форма 4'!A148</f>
        <v>8.</v>
      </c>
      <c r="B13" s="26">
        <f t="shared" si="0"/>
        <v>145922.85</v>
      </c>
      <c r="C13" s="26">
        <v>32938.12</v>
      </c>
      <c r="D13" s="26">
        <v>88963.11</v>
      </c>
      <c r="E13" s="26">
        <v>13331.06</v>
      </c>
      <c r="F13" s="26">
        <v>24021.62</v>
      </c>
      <c r="G13" s="26">
        <v>0</v>
      </c>
      <c r="H13" s="26">
        <v>0</v>
      </c>
      <c r="I13" s="27">
        <f>'Форма 4'!I148</f>
        <v>124</v>
      </c>
      <c r="J13" s="27">
        <v>0</v>
      </c>
      <c r="K13" s="27">
        <f>'Форма 4'!I149</f>
        <v>56.72</v>
      </c>
      <c r="L13" s="26">
        <v>0</v>
      </c>
      <c r="M13" s="26">
        <v>0</v>
      </c>
      <c r="N13" s="26">
        <v>55846.90026</v>
      </c>
      <c r="O13" s="26">
        <v>35164.5768</v>
      </c>
      <c r="P13" s="26">
        <v>39756.31084</v>
      </c>
      <c r="Q13" s="26">
        <v>16090.58942</v>
      </c>
      <c r="R13" s="26">
        <v>25032.9712</v>
      </c>
      <c r="S13" s="26">
        <v>10131.6056</v>
      </c>
      <c r="T13" s="26">
        <v>0</v>
      </c>
      <c r="U13" s="26">
        <v>0</v>
      </c>
      <c r="V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H13" s="26">
        <v>0</v>
      </c>
      <c r="AI13" s="26">
        <v>0</v>
      </c>
      <c r="AJ13" s="26">
        <v>0</v>
      </c>
      <c r="AK13" s="26">
        <v>0</v>
      </c>
    </row>
    <row r="14" spans="1:37" ht="10.5">
      <c r="A14" s="26" t="str">
        <f>'Форма 4'!A167</f>
        <v>9.</v>
      </c>
      <c r="B14" s="26">
        <f t="shared" si="0"/>
        <v>534.33</v>
      </c>
      <c r="C14" s="26">
        <v>0</v>
      </c>
      <c r="D14" s="26">
        <v>534.33</v>
      </c>
      <c r="E14" s="26">
        <v>0</v>
      </c>
      <c r="F14" s="26">
        <v>0</v>
      </c>
      <c r="G14" s="26">
        <v>0</v>
      </c>
      <c r="H14" s="26">
        <v>0</v>
      </c>
      <c r="I14" s="27">
        <f>'Форма 4'!I167</f>
        <v>0</v>
      </c>
      <c r="J14" s="27">
        <v>0</v>
      </c>
      <c r="K14" s="27">
        <f>'Форма 4'!I168</f>
        <v>0</v>
      </c>
      <c r="L14" s="26">
        <v>0</v>
      </c>
      <c r="M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H14" s="26">
        <v>0</v>
      </c>
      <c r="AI14" s="26">
        <v>0</v>
      </c>
      <c r="AJ14" s="26">
        <v>0</v>
      </c>
      <c r="AK14" s="26">
        <v>0</v>
      </c>
    </row>
    <row r="15" spans="1:37" ht="10.5">
      <c r="A15" s="26" t="str">
        <f>'Форма 4'!A188</f>
        <v>10.</v>
      </c>
      <c r="B15" s="26">
        <f t="shared" si="0"/>
        <v>63744.26</v>
      </c>
      <c r="C15" s="26">
        <v>24679.7</v>
      </c>
      <c r="D15" s="26">
        <v>36017.51</v>
      </c>
      <c r="E15" s="26">
        <v>6294.91</v>
      </c>
      <c r="F15" s="26">
        <v>3047.05</v>
      </c>
      <c r="G15" s="26">
        <v>0</v>
      </c>
      <c r="H15" s="26">
        <v>0</v>
      </c>
      <c r="I15" s="27">
        <f>'Форма 4'!I188</f>
        <v>94</v>
      </c>
      <c r="J15" s="27">
        <v>0</v>
      </c>
      <c r="K15" s="27">
        <f>'Форма 4'!I189</f>
        <v>16.9</v>
      </c>
      <c r="L15" s="26">
        <v>0</v>
      </c>
      <c r="M15" s="26">
        <v>0</v>
      </c>
      <c r="N15" s="26">
        <v>23695.57665</v>
      </c>
      <c r="O15" s="26">
        <v>21062.7348</v>
      </c>
      <c r="P15" s="26">
        <v>18879.9705</v>
      </c>
      <c r="Q15" s="26">
        <v>4815.60615</v>
      </c>
      <c r="R15" s="26">
        <v>16782.196</v>
      </c>
      <c r="S15" s="26">
        <v>4280.5388</v>
      </c>
      <c r="T15" s="26">
        <v>0</v>
      </c>
      <c r="U15" s="26">
        <v>0</v>
      </c>
      <c r="V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H15" s="26">
        <v>0</v>
      </c>
      <c r="AI15" s="26">
        <v>0</v>
      </c>
      <c r="AJ15" s="26">
        <v>0</v>
      </c>
      <c r="AK15" s="26">
        <v>0</v>
      </c>
    </row>
    <row r="16" spans="1:37" ht="10.5">
      <c r="A16" s="26" t="str">
        <f>'Форма 4'!A207</f>
        <v>11.</v>
      </c>
      <c r="B16" s="26">
        <f t="shared" si="0"/>
        <v>33941.53</v>
      </c>
      <c r="C16" s="26">
        <v>0</v>
      </c>
      <c r="D16" s="26">
        <v>0</v>
      </c>
      <c r="E16" s="26">
        <v>0</v>
      </c>
      <c r="F16" s="26">
        <v>33941.53</v>
      </c>
      <c r="G16" s="26">
        <v>0</v>
      </c>
      <c r="H16" s="26">
        <v>0</v>
      </c>
      <c r="I16" s="27">
        <f>'Форма 4'!I207</f>
        <v>0</v>
      </c>
      <c r="J16" s="27">
        <v>0</v>
      </c>
      <c r="K16" s="27">
        <f>'Форма 4'!I208</f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H16" s="26">
        <v>0</v>
      </c>
      <c r="AI16" s="26">
        <v>0</v>
      </c>
      <c r="AJ16" s="26">
        <v>0</v>
      </c>
      <c r="AK16" s="26">
        <v>0</v>
      </c>
    </row>
    <row r="17" spans="1:37" ht="10.5">
      <c r="A17" s="26" t="str">
        <f>'Форма 4'!A226</f>
        <v>12.</v>
      </c>
      <c r="B17" s="26">
        <f t="shared" si="0"/>
        <v>485.04</v>
      </c>
      <c r="C17" s="26">
        <v>0</v>
      </c>
      <c r="D17" s="26">
        <v>0</v>
      </c>
      <c r="E17" s="26">
        <v>0</v>
      </c>
      <c r="F17" s="26">
        <v>485.04</v>
      </c>
      <c r="G17" s="26">
        <v>0</v>
      </c>
      <c r="H17" s="26">
        <v>0</v>
      </c>
      <c r="I17" s="27">
        <f>'Форма 4'!I226</f>
        <v>0</v>
      </c>
      <c r="J17" s="27">
        <v>0</v>
      </c>
      <c r="K17" s="27">
        <f>'Форма 4'!I227</f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H17" s="26">
        <v>0</v>
      </c>
      <c r="AI17" s="26">
        <v>0</v>
      </c>
      <c r="AJ17" s="26">
        <v>0</v>
      </c>
      <c r="AK17" s="26">
        <v>0</v>
      </c>
    </row>
    <row r="18" spans="1:37" ht="10.5">
      <c r="A18" s="26" t="str">
        <f>'Форма 4'!A245</f>
        <v>13.</v>
      </c>
      <c r="B18" s="26">
        <f t="shared" si="0"/>
        <v>240093.79</v>
      </c>
      <c r="C18" s="26">
        <v>0</v>
      </c>
      <c r="D18" s="26">
        <v>0</v>
      </c>
      <c r="E18" s="26">
        <v>0</v>
      </c>
      <c r="F18" s="26">
        <v>240093.79</v>
      </c>
      <c r="G18" s="26">
        <v>0</v>
      </c>
      <c r="H18" s="26">
        <v>0</v>
      </c>
      <c r="I18" s="27">
        <f>'Форма 4'!I245</f>
        <v>0</v>
      </c>
      <c r="J18" s="27">
        <v>0</v>
      </c>
      <c r="K18" s="27">
        <f>'Форма 4'!I246</f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H18" s="26">
        <v>0</v>
      </c>
      <c r="AI18" s="26">
        <v>0</v>
      </c>
      <c r="AJ18" s="26">
        <v>0</v>
      </c>
      <c r="AK18" s="26">
        <v>0</v>
      </c>
    </row>
    <row r="19" spans="1:37" ht="10.5">
      <c r="A19" s="26" t="str">
        <f>'Форма 4'!A264</f>
        <v>14.</v>
      </c>
      <c r="B19" s="26">
        <f t="shared" si="0"/>
        <v>52.17</v>
      </c>
      <c r="C19" s="26">
        <v>0</v>
      </c>
      <c r="D19" s="26">
        <v>0</v>
      </c>
      <c r="E19" s="26">
        <v>0</v>
      </c>
      <c r="F19" s="26">
        <v>52.17</v>
      </c>
      <c r="G19" s="26">
        <v>0</v>
      </c>
      <c r="H19" s="26">
        <v>0</v>
      </c>
      <c r="I19" s="27">
        <f>'Форма 4'!I264</f>
        <v>0</v>
      </c>
      <c r="J19" s="27">
        <v>0</v>
      </c>
      <c r="K19" s="27">
        <f>'Форма 4'!I265</f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H19" s="26">
        <v>0</v>
      </c>
      <c r="AI19" s="26">
        <v>0</v>
      </c>
      <c r="AJ19" s="26">
        <v>0</v>
      </c>
      <c r="AK19" s="26">
        <v>0</v>
      </c>
    </row>
    <row r="20" spans="1:37" ht="10.5">
      <c r="A20" s="26" t="str">
        <f>'Форма 4'!A283</f>
        <v>15.</v>
      </c>
      <c r="B20" s="26">
        <f t="shared" si="0"/>
        <v>88.22</v>
      </c>
      <c r="C20" s="26">
        <v>88.22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>
        <f>'Форма 4'!I283</f>
        <v>0.34</v>
      </c>
      <c r="J20" s="27">
        <v>0</v>
      </c>
      <c r="K20" s="27">
        <f>'Форма 4'!I284</f>
        <v>0</v>
      </c>
      <c r="L20" s="26">
        <v>0</v>
      </c>
      <c r="M20" s="26">
        <v>0</v>
      </c>
      <c r="N20" s="26">
        <v>67.4883</v>
      </c>
      <c r="O20" s="26">
        <v>59.9896</v>
      </c>
      <c r="P20" s="26">
        <v>67.4883</v>
      </c>
      <c r="Q20" s="26">
        <v>0</v>
      </c>
      <c r="R20" s="26">
        <v>59.9896</v>
      </c>
      <c r="S20" s="26">
        <v>0</v>
      </c>
      <c r="T20" s="26">
        <v>0</v>
      </c>
      <c r="U20" s="26">
        <v>0</v>
      </c>
      <c r="V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H20" s="26">
        <v>0</v>
      </c>
      <c r="AI20" s="26">
        <v>0</v>
      </c>
      <c r="AJ20" s="26">
        <v>0</v>
      </c>
      <c r="AK20" s="26">
        <v>0</v>
      </c>
    </row>
    <row r="21" spans="1:37" ht="10.5">
      <c r="A21" s="26" t="str">
        <f>'Форма 4'!A302</f>
        <v>16.</v>
      </c>
      <c r="B21" s="26">
        <f t="shared" si="0"/>
        <v>12.06</v>
      </c>
      <c r="C21" s="26">
        <v>0</v>
      </c>
      <c r="D21" s="26">
        <v>0</v>
      </c>
      <c r="E21" s="26">
        <v>0</v>
      </c>
      <c r="F21" s="26">
        <v>12.06</v>
      </c>
      <c r="G21" s="26">
        <v>0</v>
      </c>
      <c r="H21" s="26">
        <v>0</v>
      </c>
      <c r="I21" s="27">
        <f>'Форма 4'!I302</f>
        <v>0</v>
      </c>
      <c r="J21" s="27">
        <v>0</v>
      </c>
      <c r="K21" s="27">
        <f>'Форма 4'!I303</f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H21" s="26">
        <v>0</v>
      </c>
      <c r="AI21" s="26">
        <v>0</v>
      </c>
      <c r="AJ21" s="26">
        <v>0</v>
      </c>
      <c r="AK21" s="26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K2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7" customWidth="1"/>
    <col min="2" max="16384" width="9.140625" style="26" customWidth="1"/>
  </cols>
  <sheetData>
    <row r="1" spans="1:37" s="28" customFormat="1" ht="10.5">
      <c r="A1" s="7"/>
      <c r="B1" s="28" t="s">
        <v>153</v>
      </c>
      <c r="C1" s="28" t="s">
        <v>154</v>
      </c>
      <c r="D1" s="28" t="s">
        <v>155</v>
      </c>
      <c r="E1" s="28" t="s">
        <v>156</v>
      </c>
      <c r="F1" s="28" t="s">
        <v>157</v>
      </c>
      <c r="G1" s="28" t="s">
        <v>158</v>
      </c>
      <c r="H1" s="28" t="s">
        <v>159</v>
      </c>
      <c r="I1" s="28" t="s">
        <v>160</v>
      </c>
      <c r="J1" s="28" t="s">
        <v>161</v>
      </c>
      <c r="K1" s="28" t="s">
        <v>162</v>
      </c>
      <c r="L1" s="28" t="s">
        <v>163</v>
      </c>
      <c r="M1" s="28" t="s">
        <v>164</v>
      </c>
      <c r="N1" s="28" t="s">
        <v>165</v>
      </c>
      <c r="O1" s="28" t="s">
        <v>166</v>
      </c>
      <c r="P1" s="28" t="s">
        <v>167</v>
      </c>
      <c r="Q1" s="28" t="s">
        <v>168</v>
      </c>
      <c r="R1" s="28" t="s">
        <v>169</v>
      </c>
      <c r="S1" s="28" t="s">
        <v>170</v>
      </c>
      <c r="T1" s="28" t="s">
        <v>171</v>
      </c>
      <c r="U1" s="28" t="s">
        <v>172</v>
      </c>
      <c r="V1" s="28" t="s">
        <v>173</v>
      </c>
      <c r="X1" s="28" t="s">
        <v>174</v>
      </c>
      <c r="Y1" s="28" t="s">
        <v>175</v>
      </c>
      <c r="Z1" s="28" t="s">
        <v>176</v>
      </c>
      <c r="AA1" s="28" t="s">
        <v>177</v>
      </c>
      <c r="AB1" s="28" t="s">
        <v>178</v>
      </c>
      <c r="AC1" s="28" t="s">
        <v>179</v>
      </c>
      <c r="AD1" s="28" t="s">
        <v>180</v>
      </c>
      <c r="AE1" s="28" t="s">
        <v>181</v>
      </c>
      <c r="AF1" s="28" t="s">
        <v>182</v>
      </c>
      <c r="AG1" s="28" t="s">
        <v>183</v>
      </c>
      <c r="AH1" s="28" t="s">
        <v>184</v>
      </c>
      <c r="AI1" s="28" t="s">
        <v>185</v>
      </c>
      <c r="AJ1" s="28" t="s">
        <v>186</v>
      </c>
      <c r="AK1" s="28" t="s">
        <v>187</v>
      </c>
    </row>
    <row r="2" spans="1:10" ht="10.5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10.5">
      <c r="A3" s="29"/>
      <c r="B3" s="61" t="s">
        <v>188</v>
      </c>
      <c r="C3" s="61"/>
      <c r="D3" s="61"/>
      <c r="E3" s="61"/>
      <c r="F3" s="61"/>
      <c r="G3" s="61"/>
      <c r="H3" s="61"/>
      <c r="I3" s="61"/>
      <c r="J3" s="61"/>
    </row>
    <row r="4" spans="1:10" ht="10.5">
      <c r="A4" s="29"/>
      <c r="B4" s="61" t="s">
        <v>189</v>
      </c>
      <c r="C4" s="61"/>
      <c r="D4" s="61"/>
      <c r="E4" s="61"/>
      <c r="F4" s="61"/>
      <c r="G4" s="61"/>
      <c r="H4" s="61"/>
      <c r="I4" s="61"/>
      <c r="J4" s="61"/>
    </row>
    <row r="5" spans="1:10" ht="10.5">
      <c r="A5" s="59"/>
      <c r="B5" s="60"/>
      <c r="C5" s="60"/>
      <c r="D5" s="60"/>
      <c r="E5" s="60"/>
      <c r="F5" s="60"/>
      <c r="G5" s="60"/>
      <c r="H5" s="60"/>
      <c r="I5" s="60"/>
      <c r="J5" s="60"/>
    </row>
    <row r="6" spans="1:37" ht="10.5">
      <c r="A6" s="26" t="str">
        <f>'Форма 4'!A15</f>
        <v>1.</v>
      </c>
      <c r="B6" s="26">
        <f aca="true" t="shared" si="0" ref="B6:B21">ROUND(C6+D6+F6+AF6+AG6,2)</f>
        <v>2480.49</v>
      </c>
      <c r="C6" s="26">
        <f>ROUND('Форма 4'!C15*'Текущие цены за единицу'!C6,2)</f>
        <v>2480.49</v>
      </c>
      <c r="D6" s="26">
        <f>ROUND('Форма 4'!C15*'Текущие цены за единицу'!D6,2)</f>
        <v>0</v>
      </c>
      <c r="E6" s="26">
        <f>ROUND('Форма 4'!C15*'Текущие цены за единицу'!E6,2)</f>
        <v>0</v>
      </c>
      <c r="F6" s="26">
        <f>ROUND('Форма 4'!C15*'Текущие цены за единицу'!F6,2)</f>
        <v>0</v>
      </c>
      <c r="G6" s="26">
        <f>ROUND('Форма 4'!C15*'Текущие цены за единицу'!G6,2)</f>
        <v>0</v>
      </c>
      <c r="H6" s="26">
        <f>ROUND('Форма 4'!C15*'Текущие цены за единицу'!H6,2)</f>
        <v>0</v>
      </c>
      <c r="I6" s="30">
        <f>ОКРУГЛВСЕ('Форма 4'!C15*'Текущие цены за единицу'!I6,8)</f>
        <v>10.0368</v>
      </c>
      <c r="J6" s="27">
        <f>ОКРУГЛВСЕ('Форма 4'!C15*'Текущие цены за единицу'!J6,8)</f>
        <v>0</v>
      </c>
      <c r="K6" s="30">
        <f>ОКРУГЛВСЕ('Форма 4'!C15*'Текущие цены за единицу'!K6,8)</f>
        <v>0</v>
      </c>
      <c r="L6" s="26">
        <f>ROUND('Форма 4'!C15*'Текущие цены за единицу'!L6,2)</f>
        <v>0</v>
      </c>
      <c r="M6" s="26">
        <f>ROUND('Форма 4'!C15*'Текущие цены за единицу'!M6,2)</f>
        <v>0</v>
      </c>
      <c r="N6" s="26">
        <f>ROUND((C6+E6)*'Форма 4'!C27/100,2)</f>
        <v>1686.73</v>
      </c>
      <c r="O6" s="26">
        <f>ROUND((C6+E6)*'Форма 4'!C30/100,2)</f>
        <v>892.98</v>
      </c>
      <c r="P6" s="26">
        <f>ROUND('Форма 4'!C15*'Текущие цены за единицу'!P6,2)</f>
        <v>1686.74</v>
      </c>
      <c r="Q6" s="26">
        <f>ROUND('Форма 4'!C15*'Текущие цены за единицу'!Q6,2)</f>
        <v>0</v>
      </c>
      <c r="R6" s="26">
        <f>ROUND('Форма 4'!C15*'Текущие цены за единицу'!R6,2)</f>
        <v>892.98</v>
      </c>
      <c r="S6" s="26">
        <f>ROUND('Форма 4'!C15*'Текущие цены за единицу'!S6,2)</f>
        <v>0</v>
      </c>
      <c r="T6" s="26">
        <f>ROUND('Форма 4'!C15*'Текущие цены за единицу'!T6,2)</f>
        <v>0</v>
      </c>
      <c r="U6" s="26">
        <f>ROUND('Форма 4'!C15*'Текущие цены за единицу'!U6,2)</f>
        <v>0</v>
      </c>
      <c r="V6" s="26">
        <f>ROUND('Форма 4'!C15*'Текущие цены за единицу'!V6,2)</f>
        <v>0</v>
      </c>
      <c r="X6" s="26">
        <f>ROUND('Форма 4'!C15*'Текущие цены за единицу'!X6,2)</f>
        <v>0</v>
      </c>
      <c r="Y6" s="26">
        <f>IF(Определители!I6="9",ROUND((C6+E6)*(Начисления!M6/100)*('Форма 4'!C27/100),2),0)</f>
        <v>0</v>
      </c>
      <c r="Z6" s="26">
        <f>IF(Определители!I6="9",ROUND((C6+E6)*(100-Начисления!M6/100)*('Форма 4'!C27/100),2),0)</f>
        <v>0</v>
      </c>
      <c r="AA6" s="26">
        <f>IF(Определители!I6="9",ROUND((C6+E6)*(Начисления!M6/100)*('Форма 4'!C30/100),2),0)</f>
        <v>0</v>
      </c>
      <c r="AB6" s="26">
        <f>IF(Определители!I6="9",ROUND((C6+E6)*(100-Начисления!M6/100)*('Форма 4'!C30/100),2),0)</f>
        <v>0</v>
      </c>
      <c r="AC6" s="26">
        <f>IF(Определители!I6="9",ROUND(B6*Начисления!M6/100,2),0)</f>
        <v>0</v>
      </c>
      <c r="AD6" s="26">
        <f>IF(Определители!I6="9",ROUND(B6*(100-Начисления!M6)/100,2),0)</f>
        <v>0</v>
      </c>
      <c r="AE6" s="26">
        <f>ROUND('Форма 4'!C15*'Текущие цены за единицу'!AE6,2)</f>
        <v>0</v>
      </c>
      <c r="AH6" s="26">
        <f>ROUND('Форма 4'!C15*'Текущие цены за единицу'!AH6,2)</f>
        <v>0</v>
      </c>
      <c r="AI6" s="26">
        <f>ROUND('Форма 4'!C15*'Текущие цены за единицу'!AI6,2)</f>
        <v>0</v>
      </c>
      <c r="AJ6" s="26">
        <f>ROUND('Форма 4'!C15*'Текущие цены за единицу'!AJ6,2)</f>
        <v>0</v>
      </c>
      <c r="AK6" s="26">
        <f>ROUND('Форма 4'!C15*'Текущие цены за единицу'!AK6,2)</f>
        <v>0</v>
      </c>
    </row>
    <row r="7" spans="1:37" ht="10.5">
      <c r="A7" s="26" t="str">
        <f>'Форма 4'!A34</f>
        <v>2.</v>
      </c>
      <c r="B7" s="26">
        <f t="shared" si="0"/>
        <v>1495.68</v>
      </c>
      <c r="C7" s="26">
        <f>ROUND('Форма 4'!C34*'Текущие цены за единицу'!C7,2)</f>
        <v>0</v>
      </c>
      <c r="D7" s="26">
        <f>ROUND('Форма 4'!C34*'Текущие цены за единицу'!D7,2)</f>
        <v>1495.68</v>
      </c>
      <c r="E7" s="26">
        <f>ROUND('Форма 4'!C34*'Текущие цены за единицу'!E7,2)</f>
        <v>0</v>
      </c>
      <c r="F7" s="26">
        <f>ROUND('Форма 4'!C34*'Текущие цены за единицу'!F7,2)</f>
        <v>0</v>
      </c>
      <c r="G7" s="26">
        <f>ROUND('Форма 4'!C34*'Текущие цены за единицу'!G7,2)</f>
        <v>0</v>
      </c>
      <c r="H7" s="26">
        <f>ROUND('Форма 4'!C34*'Текущие цены за единицу'!H7,2)</f>
        <v>0</v>
      </c>
      <c r="I7" s="30">
        <f>ОКРУГЛВСЕ('Форма 4'!C34*'Текущие цены за единицу'!I7,8)</f>
        <v>0</v>
      </c>
      <c r="J7" s="27">
        <f>ОКРУГЛВСЕ('Форма 4'!C34*'Текущие цены за единицу'!J7,8)</f>
        <v>0</v>
      </c>
      <c r="K7" s="30">
        <f>ОКРУГЛВСЕ('Форма 4'!C34*'Текущие цены за единицу'!K7,8)</f>
        <v>0</v>
      </c>
      <c r="L7" s="26">
        <f>ROUND('Форма 4'!C34*'Текущие цены за единицу'!L7,2)</f>
        <v>0</v>
      </c>
      <c r="M7" s="26">
        <f>ROUND('Форма 4'!C34*'Текущие цены за единицу'!M7,2)</f>
        <v>0</v>
      </c>
      <c r="P7" s="26">
        <f>ROUND('Форма 4'!C34*'Текущие цены за единицу'!P7,2)</f>
        <v>0</v>
      </c>
      <c r="Q7" s="26">
        <f>ROUND('Форма 4'!C34*'Текущие цены за единицу'!Q7,2)</f>
        <v>0</v>
      </c>
      <c r="R7" s="26">
        <f>ROUND('Форма 4'!C34*'Текущие цены за единицу'!R7,2)</f>
        <v>0</v>
      </c>
      <c r="S7" s="26">
        <f>ROUND('Форма 4'!C34*'Текущие цены за единицу'!S7,2)</f>
        <v>0</v>
      </c>
      <c r="T7" s="26">
        <f>ROUND('Форма 4'!C34*'Текущие цены за единицу'!T7,2)</f>
        <v>0</v>
      </c>
      <c r="U7" s="26">
        <f>ROUND('Форма 4'!C34*'Текущие цены за единицу'!U7,2)</f>
        <v>0</v>
      </c>
      <c r="V7" s="26">
        <f>ROUND('Форма 4'!C34*'Текущие цены за единицу'!V7,2)</f>
        <v>0</v>
      </c>
      <c r="X7" s="26">
        <f>ROUND('Форма 4'!C34*'Текущие цены за единицу'!X7,2)</f>
        <v>0</v>
      </c>
      <c r="Y7" s="26">
        <f>IF(Определители!I7="9",ROUND((C7+E7)*(Начисления!M7/100)*('Форма 4'!C46/100),2),0)</f>
        <v>0</v>
      </c>
      <c r="Z7" s="26">
        <f>IF(Определители!I7="9",ROUND((C7+E7)*(100-Начисления!M7/100)*('Форма 4'!C46/100),2),0)</f>
        <v>0</v>
      </c>
      <c r="AA7" s="26">
        <f>IF(Определители!I7="9",ROUND((C7+E7)*(Начисления!M7/100)*('Форма 4'!C49/100),2),0)</f>
        <v>0</v>
      </c>
      <c r="AB7" s="26">
        <f>IF(Определители!I7="9",ROUND((C7+E7)*(100-Начисления!M7/100)*('Форма 4'!C49/100),2),0)</f>
        <v>0</v>
      </c>
      <c r="AC7" s="26">
        <f>IF(Определители!I7="9",ROUND(B7*Начисления!M7/100,2),0)</f>
        <v>0</v>
      </c>
      <c r="AD7" s="26">
        <f>IF(Определители!I7="9",ROUND(B7*(100-Начисления!M7)/100,2),0)</f>
        <v>0</v>
      </c>
      <c r="AE7" s="26">
        <f>ROUND('Форма 4'!C34*'Текущие цены за единицу'!AE7,2)</f>
        <v>0</v>
      </c>
      <c r="AH7" s="26">
        <f>ROUND('Форма 4'!C34*'Текущие цены за единицу'!AH7,2)</f>
        <v>0</v>
      </c>
      <c r="AI7" s="26">
        <f>ROUND('Форма 4'!C34*'Текущие цены за единицу'!AI7,2)</f>
        <v>0</v>
      </c>
      <c r="AJ7" s="26">
        <f>ROUND('Форма 4'!C34*'Текущие цены за единицу'!AJ7,2)</f>
        <v>0</v>
      </c>
      <c r="AK7" s="26">
        <f>ROUND('Форма 4'!C34*'Текущие цены за единицу'!AK7,2)</f>
        <v>0</v>
      </c>
    </row>
    <row r="8" spans="1:37" ht="10.5">
      <c r="A8" s="26" t="str">
        <f>'Форма 4'!A53</f>
        <v>3.</v>
      </c>
      <c r="B8" s="26">
        <f t="shared" si="0"/>
        <v>1362.72</v>
      </c>
      <c r="C8" s="26">
        <f>ROUND('Форма 4'!C53*'Текущие цены за единицу'!C8,2)</f>
        <v>0</v>
      </c>
      <c r="D8" s="26">
        <f>ROUND('Форма 4'!C53*'Текущие цены за единицу'!D8,2)</f>
        <v>1362.72</v>
      </c>
      <c r="E8" s="26">
        <f>ROUND('Форма 4'!C53*'Текущие цены за единицу'!E8,2)</f>
        <v>0</v>
      </c>
      <c r="F8" s="26">
        <f>ROUND('Форма 4'!C53*'Текущие цены за единицу'!F8,2)</f>
        <v>0</v>
      </c>
      <c r="G8" s="26">
        <f>ROUND('Форма 4'!C53*'Текущие цены за единицу'!G8,2)</f>
        <v>0</v>
      </c>
      <c r="H8" s="26">
        <f>ROUND('Форма 4'!C53*'Текущие цены за единицу'!H8,2)</f>
        <v>0</v>
      </c>
      <c r="I8" s="30">
        <f>ОКРУГЛВСЕ('Форма 4'!C53*'Текущие цены за единицу'!I8,8)</f>
        <v>0</v>
      </c>
      <c r="J8" s="27">
        <f>ОКРУГЛВСЕ('Форма 4'!C53*'Текущие цены за единицу'!J8,8)</f>
        <v>0</v>
      </c>
      <c r="K8" s="30">
        <f>ОКРУГЛВСЕ('Форма 4'!C53*'Текущие цены за единицу'!K8,8)</f>
        <v>0</v>
      </c>
      <c r="L8" s="26">
        <f>ROUND('Форма 4'!C53*'Текущие цены за единицу'!L8,2)</f>
        <v>0</v>
      </c>
      <c r="M8" s="26">
        <f>ROUND('Форма 4'!C53*'Текущие цены за единицу'!M8,2)</f>
        <v>0</v>
      </c>
      <c r="P8" s="26">
        <f>ROUND('Форма 4'!C53*'Текущие цены за единицу'!P8,2)</f>
        <v>0</v>
      </c>
      <c r="Q8" s="26">
        <f>ROUND('Форма 4'!C53*'Текущие цены за единицу'!Q8,2)</f>
        <v>0</v>
      </c>
      <c r="R8" s="26">
        <f>ROUND('Форма 4'!C53*'Текущие цены за единицу'!R8,2)</f>
        <v>0</v>
      </c>
      <c r="S8" s="26">
        <f>ROUND('Форма 4'!C53*'Текущие цены за единицу'!S8,2)</f>
        <v>0</v>
      </c>
      <c r="T8" s="26">
        <f>ROUND('Форма 4'!C53*'Текущие цены за единицу'!T8,2)</f>
        <v>0</v>
      </c>
      <c r="U8" s="26">
        <f>ROUND('Форма 4'!C53*'Текущие цены за единицу'!U8,2)</f>
        <v>0</v>
      </c>
      <c r="V8" s="26">
        <f>ROUND('Форма 4'!C53*'Текущие цены за единицу'!V8,2)</f>
        <v>0</v>
      </c>
      <c r="X8" s="26">
        <f>ROUND('Форма 4'!C53*'Текущие цены за единицу'!X8,2)</f>
        <v>0</v>
      </c>
      <c r="Y8" s="26">
        <f>IF(Определители!I8="9",ROUND((C8+E8)*(Начисления!M8/100)*('Форма 4'!C65/100),2),0)</f>
        <v>0</v>
      </c>
      <c r="Z8" s="26">
        <f>IF(Определители!I8="9",ROUND((C8+E8)*(100-Начисления!M8/100)*('Форма 4'!C65/100),2),0)</f>
        <v>0</v>
      </c>
      <c r="AA8" s="26">
        <f>IF(Определители!I8="9",ROUND((C8+E8)*(Начисления!M8/100)*('Форма 4'!C68/100),2),0)</f>
        <v>0</v>
      </c>
      <c r="AB8" s="26">
        <f>IF(Определители!I8="9",ROUND((C8+E8)*(100-Начисления!M8/100)*('Форма 4'!C68/100),2),0)</f>
        <v>0</v>
      </c>
      <c r="AC8" s="26">
        <f>IF(Определители!I8="9",ROUND(B8*Начисления!M8/100,2),0)</f>
        <v>0</v>
      </c>
      <c r="AD8" s="26">
        <f>IF(Определители!I8="9",ROUND(B8*(100-Начисления!M8)/100,2),0)</f>
        <v>0</v>
      </c>
      <c r="AE8" s="26">
        <f>ROUND('Форма 4'!C53*'Текущие цены за единицу'!AE8,2)</f>
        <v>0</v>
      </c>
      <c r="AH8" s="26">
        <f>ROUND('Форма 4'!C53*'Текущие цены за единицу'!AH8,2)</f>
        <v>0</v>
      </c>
      <c r="AI8" s="26">
        <f>ROUND('Форма 4'!C53*'Текущие цены за единицу'!AI8,2)</f>
        <v>0</v>
      </c>
      <c r="AJ8" s="26">
        <f>ROUND('Форма 4'!C53*'Текущие цены за единицу'!AJ8,2)</f>
        <v>0</v>
      </c>
      <c r="AK8" s="26">
        <f>ROUND('Форма 4'!C53*'Текущие цены за единицу'!AK8,2)</f>
        <v>0</v>
      </c>
    </row>
    <row r="9" spans="1:37" ht="10.5">
      <c r="A9" s="26" t="str">
        <f>'Форма 4'!A72</f>
        <v>4.</v>
      </c>
      <c r="B9" s="26">
        <f t="shared" si="0"/>
        <v>3068.23</v>
      </c>
      <c r="C9" s="26">
        <f>ROUND('Форма 4'!C72*'Текущие цены за единицу'!C9,2)</f>
        <v>320.76</v>
      </c>
      <c r="D9" s="26">
        <f>ROUND('Форма 4'!C72*'Текущие цены за единицу'!D9,2)</f>
        <v>2728.75</v>
      </c>
      <c r="E9" s="26">
        <f>ROUND('Форма 4'!C72*'Текущие цены за единицу'!E9,2)</f>
        <v>496.32</v>
      </c>
      <c r="F9" s="26">
        <f>ROUND('Форма 4'!C72*'Текущие цены за единицу'!F9,2)</f>
        <v>18.72</v>
      </c>
      <c r="G9" s="26">
        <f>ROUND('Форма 4'!C72*'Текущие цены за единицу'!G9,2)</f>
        <v>0</v>
      </c>
      <c r="H9" s="26">
        <f>ROUND('Форма 4'!C72*'Текущие цены за единицу'!H9,2)</f>
        <v>0</v>
      </c>
      <c r="I9" s="30">
        <f>ОКРУГЛВСЕ('Форма 4'!C72*'Текущие цены за единицу'!I9,8)</f>
        <v>1.3824</v>
      </c>
      <c r="J9" s="27">
        <f>ОКРУГЛВСЕ('Форма 4'!C72*'Текущие цены за единицу'!J9,8)</f>
        <v>0</v>
      </c>
      <c r="K9" s="30">
        <f>ОКРУГЛВСЕ('Форма 4'!C72*'Текущие цены за единицу'!K9,8)</f>
        <v>1.33248</v>
      </c>
      <c r="L9" s="26">
        <f>ROUND('Форма 4'!C72*'Текущие цены за единицу'!L9,2)</f>
        <v>0</v>
      </c>
      <c r="M9" s="26">
        <f>ROUND('Форма 4'!C72*'Текущие цены за единицу'!M9,2)</f>
        <v>0</v>
      </c>
      <c r="N9" s="26">
        <f>ROUND((C9+E9)*'Форма 4'!C84/100,2)</f>
        <v>986.22</v>
      </c>
      <c r="O9" s="26">
        <f>ROUND((C9+E9)*'Форма 4'!C87/100,2)</f>
        <v>620.98</v>
      </c>
      <c r="P9" s="26">
        <f>ROUND('Форма 4'!C72*'Текущие цены за единицу'!P9,2)</f>
        <v>387.16</v>
      </c>
      <c r="Q9" s="26">
        <f>ROUND('Форма 4'!C72*'Текущие цены за единицу'!Q9,2)</f>
        <v>599.06</v>
      </c>
      <c r="R9" s="26">
        <f>ROUND('Форма 4'!C72*'Текущие цены за единицу'!R9,2)</f>
        <v>243.78</v>
      </c>
      <c r="S9" s="26">
        <f>ROUND('Форма 4'!C72*'Текущие цены за единицу'!S9,2)</f>
        <v>377.2</v>
      </c>
      <c r="T9" s="26">
        <f>ROUND('Форма 4'!C72*'Текущие цены за единицу'!T9,2)</f>
        <v>0</v>
      </c>
      <c r="U9" s="26">
        <f>ROUND('Форма 4'!C72*'Текущие цены за единицу'!U9,2)</f>
        <v>0</v>
      </c>
      <c r="V9" s="26">
        <f>ROUND('Форма 4'!C72*'Текущие цены за единицу'!V9,2)</f>
        <v>0</v>
      </c>
      <c r="X9" s="26">
        <f>ROUND('Форма 4'!C72*'Текущие цены за единицу'!X9,2)</f>
        <v>0</v>
      </c>
      <c r="Y9" s="26">
        <f>IF(Определители!I9="9",ROUND((C9+E9)*(Начисления!M9/100)*('Форма 4'!C84/100),2),0)</f>
        <v>0</v>
      </c>
      <c r="Z9" s="26">
        <f>IF(Определители!I9="9",ROUND((C9+E9)*(100-Начисления!M9/100)*('Форма 4'!C84/100),2),0)</f>
        <v>0</v>
      </c>
      <c r="AA9" s="26">
        <f>IF(Определители!I9="9",ROUND((C9+E9)*(Начисления!M9/100)*('Форма 4'!C87/100),2),0)</f>
        <v>0</v>
      </c>
      <c r="AB9" s="26">
        <f>IF(Определители!I9="9",ROUND((C9+E9)*(100-Начисления!M9/100)*('Форма 4'!C87/100),2),0)</f>
        <v>0</v>
      </c>
      <c r="AC9" s="26">
        <f>IF(Определители!I9="9",ROUND(B9*Начисления!M9/100,2),0)</f>
        <v>0</v>
      </c>
      <c r="AD9" s="26">
        <f>IF(Определители!I9="9",ROUND(B9*(100-Начисления!M9)/100,2),0)</f>
        <v>0</v>
      </c>
      <c r="AE9" s="26">
        <f>ROUND('Форма 4'!C72*'Текущие цены за единицу'!AE9,2)</f>
        <v>0</v>
      </c>
      <c r="AH9" s="26">
        <f>ROUND('Форма 4'!C72*'Текущие цены за единицу'!AH9,2)</f>
        <v>0</v>
      </c>
      <c r="AI9" s="26">
        <f>ROUND('Форма 4'!C72*'Текущие цены за единицу'!AI9,2)</f>
        <v>0</v>
      </c>
      <c r="AJ9" s="26">
        <f>ROUND('Форма 4'!C72*'Текущие цены за единицу'!AJ9,2)</f>
        <v>0</v>
      </c>
      <c r="AK9" s="26">
        <f>ROUND('Форма 4'!C72*'Текущие цены за единицу'!AK9,2)</f>
        <v>0</v>
      </c>
    </row>
    <row r="10" spans="1:37" ht="10.5">
      <c r="A10" s="26" t="str">
        <f>'Форма 4'!A91</f>
        <v>5.</v>
      </c>
      <c r="B10" s="26">
        <f t="shared" si="0"/>
        <v>9443.17</v>
      </c>
      <c r="C10" s="26">
        <f>ROUND('Форма 4'!C91*'Текущие цены за единицу'!C10,2)</f>
        <v>0</v>
      </c>
      <c r="D10" s="26">
        <f>ROUND('Форма 4'!C91*'Текущие цены за единицу'!D10,2)</f>
        <v>0</v>
      </c>
      <c r="E10" s="26">
        <f>ROUND('Форма 4'!C91*'Текущие цены за единицу'!E10,2)</f>
        <v>0</v>
      </c>
      <c r="F10" s="26">
        <f>ROUND('Форма 4'!C91*'Текущие цены за единицу'!F10,2)</f>
        <v>9443.17</v>
      </c>
      <c r="G10" s="26">
        <f>ROUND('Форма 4'!C91*'Текущие цены за единицу'!G10,2)</f>
        <v>0</v>
      </c>
      <c r="H10" s="26">
        <f>ROUND('Форма 4'!C91*'Текущие цены за единицу'!H10,2)</f>
        <v>0</v>
      </c>
      <c r="I10" s="30">
        <f>ОКРУГЛВСЕ('Форма 4'!C91*'Текущие цены за единицу'!I10,8)</f>
        <v>0</v>
      </c>
      <c r="J10" s="27">
        <f>ОКРУГЛВСЕ('Форма 4'!C91*'Текущие цены за единицу'!J10,8)</f>
        <v>0</v>
      </c>
      <c r="K10" s="30">
        <f>ОКРУГЛВСЕ('Форма 4'!C91*'Текущие цены за единицу'!K10,8)</f>
        <v>0</v>
      </c>
      <c r="L10" s="26">
        <f>ROUND('Форма 4'!C91*'Текущие цены за единицу'!L10,2)</f>
        <v>0</v>
      </c>
      <c r="M10" s="26">
        <f>ROUND('Форма 4'!C91*'Текущие цены за единицу'!M10,2)</f>
        <v>0</v>
      </c>
      <c r="N10" s="26">
        <f>ROUND((C10+E10)*'Форма 4'!C103/100,2)</f>
        <v>0</v>
      </c>
      <c r="O10" s="26">
        <f>ROUND((C10+E10)*'Форма 4'!C106/100,2)</f>
        <v>0</v>
      </c>
      <c r="P10" s="26">
        <f>ROUND('Форма 4'!C91*'Текущие цены за единицу'!P10,2)</f>
        <v>0</v>
      </c>
      <c r="Q10" s="26">
        <f>ROUND('Форма 4'!C91*'Текущие цены за единицу'!Q10,2)</f>
        <v>0</v>
      </c>
      <c r="R10" s="26">
        <f>ROUND('Форма 4'!C91*'Текущие цены за единицу'!R10,2)</f>
        <v>0</v>
      </c>
      <c r="S10" s="26">
        <f>ROUND('Форма 4'!C91*'Текущие цены за единицу'!S10,2)</f>
        <v>0</v>
      </c>
      <c r="T10" s="26">
        <f>ROUND('Форма 4'!C91*'Текущие цены за единицу'!T10,2)</f>
        <v>0</v>
      </c>
      <c r="U10" s="26">
        <f>ROUND('Форма 4'!C91*'Текущие цены за единицу'!U10,2)</f>
        <v>0</v>
      </c>
      <c r="V10" s="26">
        <f>ROUND('Форма 4'!C91*'Текущие цены за единицу'!V10,2)</f>
        <v>0</v>
      </c>
      <c r="X10" s="26">
        <f>ROUND('Форма 4'!C91*'Текущие цены за единицу'!X10,2)</f>
        <v>0</v>
      </c>
      <c r="Y10" s="26">
        <f>IF(Определители!I10="9",ROUND((C10+E10)*(Начисления!M10/100)*('Форма 4'!C103/100),2),0)</f>
        <v>0</v>
      </c>
      <c r="Z10" s="26">
        <f>IF(Определители!I10="9",ROUND((C10+E10)*(100-Начисления!M10/100)*('Форма 4'!C103/100),2),0)</f>
        <v>0</v>
      </c>
      <c r="AA10" s="26">
        <f>IF(Определители!I10="9",ROUND((C10+E10)*(Начисления!M10/100)*('Форма 4'!C106/100),2),0)</f>
        <v>0</v>
      </c>
      <c r="AB10" s="26">
        <f>IF(Определители!I10="9",ROUND((C10+E10)*(100-Начисления!M10/100)*('Форма 4'!C106/100),2),0)</f>
        <v>0</v>
      </c>
      <c r="AC10" s="26">
        <f>IF(Определители!I10="9",ROUND(B10*Начисления!M10/100,2),0)</f>
        <v>0</v>
      </c>
      <c r="AD10" s="26">
        <f>IF(Определители!I10="9",ROUND(B10*(100-Начисления!M10)/100,2),0)</f>
        <v>0</v>
      </c>
      <c r="AE10" s="26">
        <f>ROUND('Форма 4'!C91*'Текущие цены за единицу'!AE10,2)</f>
        <v>0</v>
      </c>
      <c r="AH10" s="26">
        <f>ROUND('Форма 4'!C91*'Текущие цены за единицу'!AH10,2)</f>
        <v>0</v>
      </c>
      <c r="AI10" s="26">
        <f>ROUND('Форма 4'!C91*'Текущие цены за единицу'!AI10,2)</f>
        <v>0</v>
      </c>
      <c r="AJ10" s="26">
        <f>ROUND('Форма 4'!C91*'Текущие цены за единицу'!AJ10,2)</f>
        <v>0</v>
      </c>
      <c r="AK10" s="26">
        <f>ROUND('Форма 4'!C91*'Текущие цены за единицу'!AK10,2)</f>
        <v>0</v>
      </c>
    </row>
    <row r="11" spans="1:37" ht="10.5">
      <c r="A11" s="26" t="str">
        <f>'Форма 4'!A110</f>
        <v>6.</v>
      </c>
      <c r="B11" s="26">
        <f t="shared" si="0"/>
        <v>1710.19</v>
      </c>
      <c r="C11" s="26">
        <f>ROUND('Форма 4'!C110*'Текущие цены за единицу'!C11,2)</f>
        <v>180.43</v>
      </c>
      <c r="D11" s="26">
        <f>ROUND('Форма 4'!C110*'Текущие цены за единицу'!D11,2)</f>
        <v>1519.93</v>
      </c>
      <c r="E11" s="26">
        <f>ROUND('Форма 4'!C110*'Текущие цены за единицу'!E11,2)</f>
        <v>241.5</v>
      </c>
      <c r="F11" s="26">
        <f>ROUND('Форма 4'!C110*'Текущие цены за единицу'!F11,2)</f>
        <v>9.83</v>
      </c>
      <c r="G11" s="26">
        <f>ROUND('Форма 4'!C110*'Текущие цены за единицу'!G11,2)</f>
        <v>0</v>
      </c>
      <c r="H11" s="26">
        <f>ROUND('Форма 4'!C110*'Текущие цены за единицу'!H11,2)</f>
        <v>0</v>
      </c>
      <c r="I11" s="30">
        <f>ОКРУГЛВСЕ('Форма 4'!C110*'Текущие цены за единицу'!I11,8)</f>
        <v>0.7776</v>
      </c>
      <c r="J11" s="27">
        <f>ОКРУГЛВСЕ('Форма 4'!C110*'Текущие цены за единицу'!J11,8)</f>
        <v>0</v>
      </c>
      <c r="K11" s="30">
        <f>ОКРУГЛВСЕ('Форма 4'!C110*'Текущие цены за единицу'!K11,8)</f>
        <v>0.7416</v>
      </c>
      <c r="L11" s="26">
        <f>ROUND('Форма 4'!C110*'Текущие цены за единицу'!L11,2)</f>
        <v>0</v>
      </c>
      <c r="M11" s="26">
        <f>ROUND('Форма 4'!C110*'Текущие цены за единицу'!M11,2)</f>
        <v>0</v>
      </c>
      <c r="N11" s="26">
        <f>ROUND((C11+E11)*'Форма 4'!C122/100,2)</f>
        <v>509.27</v>
      </c>
      <c r="O11" s="26">
        <f>ROUND((C11+E11)*'Форма 4'!C125/100,2)</f>
        <v>320.67</v>
      </c>
      <c r="P11" s="26">
        <f>ROUND('Форма 4'!C110*'Текущие цены за единицу'!P11,2)</f>
        <v>217.77</v>
      </c>
      <c r="Q11" s="26">
        <f>ROUND('Форма 4'!C110*'Текущие цены за единицу'!Q11,2)</f>
        <v>291.49</v>
      </c>
      <c r="R11" s="26">
        <f>ROUND('Форма 4'!C110*'Текущие цены за единицу'!R11,2)</f>
        <v>137.12</v>
      </c>
      <c r="S11" s="26">
        <f>ROUND('Форма 4'!C110*'Текущие цены за единицу'!S11,2)</f>
        <v>183.54</v>
      </c>
      <c r="T11" s="26">
        <f>ROUND('Форма 4'!C110*'Текущие цены за единицу'!T11,2)</f>
        <v>0</v>
      </c>
      <c r="U11" s="26">
        <f>ROUND('Форма 4'!C110*'Текущие цены за единицу'!U11,2)</f>
        <v>0</v>
      </c>
      <c r="V11" s="26">
        <f>ROUND('Форма 4'!C110*'Текущие цены за единицу'!V11,2)</f>
        <v>0</v>
      </c>
      <c r="X11" s="26">
        <f>ROUND('Форма 4'!C110*'Текущие цены за единицу'!X11,2)</f>
        <v>0</v>
      </c>
      <c r="Y11" s="26">
        <f>IF(Определители!I11="9",ROUND((C11+E11)*(Начисления!M11/100)*('Форма 4'!C122/100),2),0)</f>
        <v>0</v>
      </c>
      <c r="Z11" s="26">
        <f>IF(Определители!I11="9",ROUND((C11+E11)*(100-Начисления!M11/100)*('Форма 4'!C122/100),2),0)</f>
        <v>0</v>
      </c>
      <c r="AA11" s="26">
        <f>IF(Определители!I11="9",ROUND((C11+E11)*(Начисления!M11/100)*('Форма 4'!C125/100),2),0)</f>
        <v>0</v>
      </c>
      <c r="AB11" s="26">
        <f>IF(Определители!I11="9",ROUND((C11+E11)*(100-Начисления!M11/100)*('Форма 4'!C125/100),2),0)</f>
        <v>0</v>
      </c>
      <c r="AC11" s="26">
        <f>IF(Определители!I11="9",ROUND(B11*Начисления!M11/100,2),0)</f>
        <v>0</v>
      </c>
      <c r="AD11" s="26">
        <f>IF(Определители!I11="9",ROUND(B11*(100-Начисления!M11)/100,2),0)</f>
        <v>0</v>
      </c>
      <c r="AE11" s="26">
        <f>ROUND('Форма 4'!C110*'Текущие цены за единицу'!AE11,2)</f>
        <v>0</v>
      </c>
      <c r="AH11" s="26">
        <f>ROUND('Форма 4'!C110*'Текущие цены за единицу'!AH11,2)</f>
        <v>0</v>
      </c>
      <c r="AI11" s="26">
        <f>ROUND('Форма 4'!C110*'Текущие цены за единицу'!AI11,2)</f>
        <v>0</v>
      </c>
      <c r="AJ11" s="26">
        <f>ROUND('Форма 4'!C110*'Текущие цены за единицу'!AJ11,2)</f>
        <v>0</v>
      </c>
      <c r="AK11" s="26">
        <f>ROUND('Форма 4'!C110*'Текущие цены за единицу'!AK11,2)</f>
        <v>0</v>
      </c>
    </row>
    <row r="12" spans="1:37" ht="10.5">
      <c r="A12" s="26" t="str">
        <f>'Форма 4'!A129</f>
        <v>7.</v>
      </c>
      <c r="B12" s="26">
        <f t="shared" si="0"/>
        <v>8440.47</v>
      </c>
      <c r="C12" s="26">
        <f>ROUND('Форма 4'!C129*'Текущие цены за единицу'!C12,2)</f>
        <v>0</v>
      </c>
      <c r="D12" s="26">
        <f>ROUND('Форма 4'!C129*'Текущие цены за единицу'!D12,2)</f>
        <v>0</v>
      </c>
      <c r="E12" s="26">
        <f>ROUND('Форма 4'!C129*'Текущие цены за единицу'!E12,2)</f>
        <v>0</v>
      </c>
      <c r="F12" s="26">
        <f>ROUND('Форма 4'!C129*'Текущие цены за единицу'!F12,2)</f>
        <v>8440.47</v>
      </c>
      <c r="G12" s="26">
        <f>ROUND('Форма 4'!C129*'Текущие цены за единицу'!G12,2)</f>
        <v>0</v>
      </c>
      <c r="H12" s="26">
        <f>ROUND('Форма 4'!C129*'Текущие цены за единицу'!H12,2)</f>
        <v>0</v>
      </c>
      <c r="I12" s="30">
        <f>ОКРУГЛВСЕ('Форма 4'!C129*'Текущие цены за единицу'!I12,8)</f>
        <v>0</v>
      </c>
      <c r="J12" s="27">
        <f>ОКРУГЛВСЕ('Форма 4'!C129*'Текущие цены за единицу'!J12,8)</f>
        <v>0</v>
      </c>
      <c r="K12" s="30">
        <f>ОКРУГЛВСЕ('Форма 4'!C129*'Текущие цены за единицу'!K12,8)</f>
        <v>0</v>
      </c>
      <c r="L12" s="26">
        <f>ROUND('Форма 4'!C129*'Текущие цены за единицу'!L12,2)</f>
        <v>0</v>
      </c>
      <c r="M12" s="26">
        <f>ROUND('Форма 4'!C129*'Текущие цены за единицу'!M12,2)</f>
        <v>0</v>
      </c>
      <c r="N12" s="26">
        <f>ROUND((C12+E12)*'Форма 4'!C141/100,2)</f>
        <v>0</v>
      </c>
      <c r="O12" s="26">
        <f>ROUND((C12+E12)*'Форма 4'!C144/100,2)</f>
        <v>0</v>
      </c>
      <c r="P12" s="26">
        <f>ROUND('Форма 4'!C129*'Текущие цены за единицу'!P12,2)</f>
        <v>0</v>
      </c>
      <c r="Q12" s="26">
        <f>ROUND('Форма 4'!C129*'Текущие цены за единицу'!Q12,2)</f>
        <v>0</v>
      </c>
      <c r="R12" s="26">
        <f>ROUND('Форма 4'!C129*'Текущие цены за единицу'!R12,2)</f>
        <v>0</v>
      </c>
      <c r="S12" s="26">
        <f>ROUND('Форма 4'!C129*'Текущие цены за единицу'!S12,2)</f>
        <v>0</v>
      </c>
      <c r="T12" s="26">
        <f>ROUND('Форма 4'!C129*'Текущие цены за единицу'!T12,2)</f>
        <v>0</v>
      </c>
      <c r="U12" s="26">
        <f>ROUND('Форма 4'!C129*'Текущие цены за единицу'!U12,2)</f>
        <v>0</v>
      </c>
      <c r="V12" s="26">
        <f>ROUND('Форма 4'!C129*'Текущие цены за единицу'!V12,2)</f>
        <v>0</v>
      </c>
      <c r="X12" s="26">
        <f>ROUND('Форма 4'!C129*'Текущие цены за единицу'!X12,2)</f>
        <v>0</v>
      </c>
      <c r="Y12" s="26">
        <f>IF(Определители!I12="9",ROUND((C12+E12)*(Начисления!M12/100)*('Форма 4'!C141/100),2),0)</f>
        <v>0</v>
      </c>
      <c r="Z12" s="26">
        <f>IF(Определители!I12="9",ROUND((C12+E12)*(100-Начисления!M12/100)*('Форма 4'!C141/100),2),0)</f>
        <v>0</v>
      </c>
      <c r="AA12" s="26">
        <f>IF(Определители!I12="9",ROUND((C12+E12)*(Начисления!M12/100)*('Форма 4'!C144/100),2),0)</f>
        <v>0</v>
      </c>
      <c r="AB12" s="26">
        <f>IF(Определители!I12="9",ROUND((C12+E12)*(100-Начисления!M12/100)*('Форма 4'!C144/100),2),0)</f>
        <v>0</v>
      </c>
      <c r="AC12" s="26">
        <f>IF(Определители!I12="9",ROUND(B12*Начисления!M12/100,2),0)</f>
        <v>0</v>
      </c>
      <c r="AD12" s="26">
        <f>IF(Определители!I12="9",ROUND(B12*(100-Начисления!M12)/100,2),0)</f>
        <v>0</v>
      </c>
      <c r="AE12" s="26">
        <f>ROUND('Форма 4'!C129*'Текущие цены за единицу'!AE12,2)</f>
        <v>0</v>
      </c>
      <c r="AH12" s="26">
        <f>ROUND('Форма 4'!C129*'Текущие цены за единицу'!AH12,2)</f>
        <v>0</v>
      </c>
      <c r="AI12" s="26">
        <f>ROUND('Форма 4'!C129*'Текущие цены за единицу'!AI12,2)</f>
        <v>0</v>
      </c>
      <c r="AJ12" s="26">
        <f>ROUND('Форма 4'!C129*'Текущие цены за единицу'!AJ12,2)</f>
        <v>0</v>
      </c>
      <c r="AK12" s="26">
        <f>ROUND('Форма 4'!C129*'Текущие цены за единицу'!AK12,2)</f>
        <v>0</v>
      </c>
    </row>
    <row r="13" spans="1:37" ht="10.5">
      <c r="A13" s="26" t="str">
        <f>'Форма 4'!A148</f>
        <v>8.</v>
      </c>
      <c r="B13" s="26">
        <f t="shared" si="0"/>
        <v>14709.02</v>
      </c>
      <c r="C13" s="26">
        <f>ROUND('Форма 4'!C148*'Текущие цены за единицу'!C13,2)</f>
        <v>3320.16</v>
      </c>
      <c r="D13" s="26">
        <f>ROUND('Форма 4'!C148*'Текущие цены за единицу'!D13,2)</f>
        <v>8967.48</v>
      </c>
      <c r="E13" s="26">
        <f>ROUND('Форма 4'!C148*'Текущие цены за единицу'!E13,2)</f>
        <v>1343.77</v>
      </c>
      <c r="F13" s="26">
        <f>ROUND('Форма 4'!C148*'Текущие цены за единицу'!F13,2)</f>
        <v>2421.38</v>
      </c>
      <c r="G13" s="26">
        <f>ROUND('Форма 4'!C148*'Текущие цены за единицу'!G13,2)</f>
        <v>0</v>
      </c>
      <c r="H13" s="26">
        <f>ROUND('Форма 4'!C148*'Текущие цены за единицу'!H13,2)</f>
        <v>0</v>
      </c>
      <c r="I13" s="30">
        <f>ОКРУГЛВСЕ('Форма 4'!C148*'Текущие цены за единицу'!I13,8)</f>
        <v>12.4992</v>
      </c>
      <c r="J13" s="27">
        <f>ОКРУГЛВСЕ('Форма 4'!C148*'Текущие цены за единицу'!J13,8)</f>
        <v>0</v>
      </c>
      <c r="K13" s="30">
        <f>ОКРУГЛВСЕ('Форма 4'!C148*'Текущие цены за единицу'!K13,8)</f>
        <v>5.717376</v>
      </c>
      <c r="L13" s="26">
        <f>ROUND('Форма 4'!C148*'Текущие цены за единицу'!L13,2)</f>
        <v>0</v>
      </c>
      <c r="M13" s="26">
        <f>ROUND('Форма 4'!C148*'Текущие цены за единицу'!M13,2)</f>
        <v>0</v>
      </c>
      <c r="N13" s="26">
        <f>ROUND((C13+E13)*'Форма 4'!C160/100,2)</f>
        <v>5629.36</v>
      </c>
      <c r="O13" s="26">
        <f>ROUND((C13+E13)*'Форма 4'!C163/100,2)</f>
        <v>3544.59</v>
      </c>
      <c r="P13" s="26">
        <f>ROUND('Форма 4'!C148*'Текущие цены за единицу'!P13,2)</f>
        <v>4007.44</v>
      </c>
      <c r="Q13" s="26">
        <f>ROUND('Форма 4'!C148*'Текущие цены за единицу'!Q13,2)</f>
        <v>1621.93</v>
      </c>
      <c r="R13" s="26">
        <f>ROUND('Форма 4'!C148*'Текущие цены за единицу'!R13,2)</f>
        <v>2523.32</v>
      </c>
      <c r="S13" s="26">
        <f>ROUND('Форма 4'!C148*'Текущие цены за единицу'!S13,2)</f>
        <v>1021.27</v>
      </c>
      <c r="T13" s="26">
        <f>ROUND('Форма 4'!C148*'Текущие цены за единицу'!T13,2)</f>
        <v>0</v>
      </c>
      <c r="U13" s="26">
        <f>ROUND('Форма 4'!C148*'Текущие цены за единицу'!U13,2)</f>
        <v>0</v>
      </c>
      <c r="V13" s="26">
        <f>ROUND('Форма 4'!C148*'Текущие цены за единицу'!V13,2)</f>
        <v>0</v>
      </c>
      <c r="X13" s="26">
        <f>ROUND('Форма 4'!C148*'Текущие цены за единицу'!X13,2)</f>
        <v>0</v>
      </c>
      <c r="Y13" s="26">
        <f>IF(Определители!I13="9",ROUND((C13+E13)*(Начисления!M13/100)*('Форма 4'!C160/100),2),0)</f>
        <v>0</v>
      </c>
      <c r="Z13" s="26">
        <f>IF(Определители!I13="9",ROUND((C13+E13)*(100-Начисления!M13/100)*('Форма 4'!C160/100),2),0)</f>
        <v>0</v>
      </c>
      <c r="AA13" s="26">
        <f>IF(Определители!I13="9",ROUND((C13+E13)*(Начисления!M13/100)*('Форма 4'!C163/100),2),0)</f>
        <v>0</v>
      </c>
      <c r="AB13" s="26">
        <f>IF(Определители!I13="9",ROUND((C13+E13)*(100-Начисления!M13/100)*('Форма 4'!C163/100),2),0)</f>
        <v>0</v>
      </c>
      <c r="AC13" s="26">
        <f>IF(Определители!I13="9",ROUND(B13*Начисления!M13/100,2),0)</f>
        <v>0</v>
      </c>
      <c r="AD13" s="26">
        <f>IF(Определители!I13="9",ROUND(B13*(100-Начисления!M13)/100,2),0)</f>
        <v>0</v>
      </c>
      <c r="AE13" s="26">
        <f>ROUND('Форма 4'!C148*'Текущие цены за единицу'!AE13,2)</f>
        <v>0</v>
      </c>
      <c r="AH13" s="26">
        <f>ROUND('Форма 4'!C148*'Текущие цены за единицу'!AH13,2)</f>
        <v>0</v>
      </c>
      <c r="AI13" s="26">
        <f>ROUND('Форма 4'!C148*'Текущие цены за единицу'!AI13,2)</f>
        <v>0</v>
      </c>
      <c r="AJ13" s="26">
        <f>ROUND('Форма 4'!C148*'Текущие цены за единицу'!AJ13,2)</f>
        <v>0</v>
      </c>
      <c r="AK13" s="26">
        <f>ROUND('Форма 4'!C148*'Текущие цены за единицу'!AK13,2)</f>
        <v>0</v>
      </c>
    </row>
    <row r="14" spans="1:37" ht="10.5">
      <c r="A14" s="26" t="str">
        <f>'Форма 4'!A167</f>
        <v>9.</v>
      </c>
      <c r="B14" s="26">
        <f t="shared" si="0"/>
        <v>14426.91</v>
      </c>
      <c r="C14" s="26">
        <f>ROUND('Форма 4'!C167*'Текущие цены за единицу'!C14,2)</f>
        <v>0</v>
      </c>
      <c r="D14" s="26">
        <f>ROUND('Форма 4'!C167*'Текущие цены за единицу'!D14,2)</f>
        <v>14426.91</v>
      </c>
      <c r="E14" s="26">
        <f>ROUND('Форма 4'!C167*'Текущие цены за единицу'!E14,2)</f>
        <v>0</v>
      </c>
      <c r="F14" s="26">
        <f>ROUND('Форма 4'!C167*'Текущие цены за единицу'!F14,2)</f>
        <v>0</v>
      </c>
      <c r="G14" s="26">
        <f>ROUND('Форма 4'!C167*'Текущие цены за единицу'!G14,2)</f>
        <v>0</v>
      </c>
      <c r="H14" s="26">
        <f>ROUND('Форма 4'!C167*'Текущие цены за единицу'!H14,2)</f>
        <v>0</v>
      </c>
      <c r="I14" s="30">
        <f>ОКРУГЛВСЕ('Форма 4'!C167*'Текущие цены за единицу'!I14,8)</f>
        <v>0</v>
      </c>
      <c r="J14" s="27">
        <f>ОКРУГЛВСЕ('Форма 4'!C167*'Текущие цены за единицу'!J14,8)</f>
        <v>0</v>
      </c>
      <c r="K14" s="30">
        <f>ОКРУГЛВСЕ('Форма 4'!C167*'Текущие цены за единицу'!K14,8)</f>
        <v>0</v>
      </c>
      <c r="L14" s="26">
        <f>ROUND('Форма 4'!C167*'Текущие цены за единицу'!L14,2)</f>
        <v>0</v>
      </c>
      <c r="M14" s="26">
        <f>ROUND('Форма 4'!C167*'Текущие цены за единицу'!M14,2)</f>
        <v>0</v>
      </c>
      <c r="P14" s="26">
        <f>ROUND('Форма 4'!C167*'Текущие цены за единицу'!P14,2)</f>
        <v>0</v>
      </c>
      <c r="Q14" s="26">
        <f>ROUND('Форма 4'!C167*'Текущие цены за единицу'!Q14,2)</f>
        <v>0</v>
      </c>
      <c r="R14" s="26">
        <f>ROUND('Форма 4'!C167*'Текущие цены за единицу'!R14,2)</f>
        <v>0</v>
      </c>
      <c r="S14" s="26">
        <f>ROUND('Форма 4'!C167*'Текущие цены за единицу'!S14,2)</f>
        <v>0</v>
      </c>
      <c r="T14" s="26">
        <f>ROUND('Форма 4'!C167*'Текущие цены за единицу'!T14,2)</f>
        <v>0</v>
      </c>
      <c r="U14" s="26">
        <f>ROUND('Форма 4'!C167*'Текущие цены за единицу'!U14,2)</f>
        <v>0</v>
      </c>
      <c r="V14" s="26">
        <f>ROUND('Форма 4'!C167*'Текущие цены за единицу'!V14,2)</f>
        <v>0</v>
      </c>
      <c r="X14" s="26">
        <f>ROUND('Форма 4'!C167*'Текущие цены за единицу'!X14,2)</f>
        <v>0</v>
      </c>
      <c r="Y14" s="26">
        <f>IF(Определители!I14="9",ROUND((C14+E14)*(Начисления!M14/100)*('Форма 4'!C179/100),2),0)</f>
        <v>0</v>
      </c>
      <c r="Z14" s="26">
        <f>IF(Определители!I14="9",ROUND((C14+E14)*(100-Начисления!M14/100)*('Форма 4'!C179/100),2),0)</f>
        <v>0</v>
      </c>
      <c r="AA14" s="26">
        <f>IF(Определители!I14="9",ROUND((C14+E14)*(Начисления!M14/100)*('Форма 4'!C182/100),2),0)</f>
        <v>0</v>
      </c>
      <c r="AB14" s="26">
        <f>IF(Определители!I14="9",ROUND((C14+E14)*(100-Начисления!M14/100)*('Форма 4'!C182/100),2),0)</f>
        <v>0</v>
      </c>
      <c r="AC14" s="26">
        <f>IF(Определители!I14="9",ROUND(B14*Начисления!M14/100,2),0)</f>
        <v>0</v>
      </c>
      <c r="AD14" s="26">
        <f>IF(Определители!I14="9",ROUND(B14*(100-Начисления!M14)/100,2),0)</f>
        <v>0</v>
      </c>
      <c r="AE14" s="26">
        <f>ROUND('Форма 4'!C167*'Текущие цены за единицу'!AE14,2)</f>
        <v>0</v>
      </c>
      <c r="AH14" s="26">
        <f>ROUND('Форма 4'!C167*'Текущие цены за единицу'!AH14,2)</f>
        <v>0</v>
      </c>
      <c r="AI14" s="26">
        <f>ROUND('Форма 4'!C167*'Текущие цены за единицу'!AI14,2)</f>
        <v>0</v>
      </c>
      <c r="AJ14" s="26">
        <f>ROUND('Форма 4'!C167*'Текущие цены за единицу'!AJ14,2)</f>
        <v>0</v>
      </c>
      <c r="AK14" s="26">
        <f>ROUND('Форма 4'!C167*'Текущие цены за единицу'!AK14,2)</f>
        <v>0</v>
      </c>
    </row>
    <row r="15" spans="1:37" ht="10.5">
      <c r="A15" s="26" t="str">
        <f>'Форма 4'!A188</f>
        <v>10.</v>
      </c>
      <c r="B15" s="26">
        <f t="shared" si="0"/>
        <v>49567.54</v>
      </c>
      <c r="C15" s="26">
        <f>ROUND('Форма 4'!C188*'Текущие цены за единицу'!C15,2)</f>
        <v>19190.93</v>
      </c>
      <c r="D15" s="26">
        <f>ROUND('Форма 4'!C188*'Текущие цены за единицу'!D15,2)</f>
        <v>28007.22</v>
      </c>
      <c r="E15" s="26">
        <f>ROUND('Форма 4'!C188*'Текущие цены за единицу'!E15,2)</f>
        <v>4894.92</v>
      </c>
      <c r="F15" s="26">
        <f>ROUND('Форма 4'!C188*'Текущие цены за единицу'!F15,2)</f>
        <v>2369.39</v>
      </c>
      <c r="G15" s="26">
        <f>ROUND('Форма 4'!C188*'Текущие цены за единицу'!G15,2)</f>
        <v>0</v>
      </c>
      <c r="H15" s="26">
        <f>ROUND('Форма 4'!C188*'Текущие цены за единицу'!H15,2)</f>
        <v>0</v>
      </c>
      <c r="I15" s="30">
        <f>ОКРУГЛВСЕ('Форма 4'!C188*'Текущие цены за единицу'!I15,8)</f>
        <v>73.0944</v>
      </c>
      <c r="J15" s="27">
        <f>ОКРУГЛВСЕ('Форма 4'!C188*'Текущие цены за единицу'!J15,8)</f>
        <v>0</v>
      </c>
      <c r="K15" s="30">
        <f>ОКРУГЛВСЕ('Форма 4'!C188*'Текущие цены за единицу'!K15,8)</f>
        <v>13.14144</v>
      </c>
      <c r="L15" s="26">
        <f>ROUND('Форма 4'!C188*'Текущие цены за единицу'!L15,2)</f>
        <v>0</v>
      </c>
      <c r="M15" s="26">
        <f>ROUND('Форма 4'!C188*'Текущие цены за единицу'!M15,2)</f>
        <v>0</v>
      </c>
      <c r="N15" s="26">
        <f>ROUND((C15+E15)*'Форма 4'!C200/100,2)</f>
        <v>18425.68</v>
      </c>
      <c r="O15" s="26">
        <f>ROUND((C15+E15)*'Форма 4'!C203/100,2)</f>
        <v>16378.38</v>
      </c>
      <c r="P15" s="26">
        <f>ROUND('Форма 4'!C188*'Текущие цены за единицу'!P15,2)</f>
        <v>14681.07</v>
      </c>
      <c r="Q15" s="26">
        <f>ROUND('Форма 4'!C188*'Текущие цены за единицу'!Q15,2)</f>
        <v>3744.62</v>
      </c>
      <c r="R15" s="26">
        <f>ROUND('Форма 4'!C188*'Текущие цены за единицу'!R15,2)</f>
        <v>13049.84</v>
      </c>
      <c r="S15" s="26">
        <f>ROUND('Форма 4'!C188*'Текущие цены за единицу'!S15,2)</f>
        <v>3328.55</v>
      </c>
      <c r="T15" s="26">
        <f>ROUND('Форма 4'!C188*'Текущие цены за единицу'!T15,2)</f>
        <v>0</v>
      </c>
      <c r="U15" s="26">
        <f>ROUND('Форма 4'!C188*'Текущие цены за единицу'!U15,2)</f>
        <v>0</v>
      </c>
      <c r="V15" s="26">
        <f>ROUND('Форма 4'!C188*'Текущие цены за единицу'!V15,2)</f>
        <v>0</v>
      </c>
      <c r="X15" s="26">
        <f>ROUND('Форма 4'!C188*'Текущие цены за единицу'!X15,2)</f>
        <v>0</v>
      </c>
      <c r="Y15" s="26">
        <f>IF(Определители!I15="9",ROUND((C15+E15)*(Начисления!M15/100)*('Форма 4'!C200/100),2),0)</f>
        <v>0</v>
      </c>
      <c r="Z15" s="26">
        <f>IF(Определители!I15="9",ROUND((C15+E15)*(100-Начисления!M15/100)*('Форма 4'!C200/100),2),0)</f>
        <v>0</v>
      </c>
      <c r="AA15" s="26">
        <f>IF(Определители!I15="9",ROUND((C15+E15)*(Начисления!M15/100)*('Форма 4'!C203/100),2),0)</f>
        <v>0</v>
      </c>
      <c r="AB15" s="26">
        <f>IF(Определители!I15="9",ROUND((C15+E15)*(100-Начисления!M15/100)*('Форма 4'!C203/100),2),0)</f>
        <v>0</v>
      </c>
      <c r="AC15" s="26">
        <f>IF(Определители!I15="9",ROUND(B15*Начисления!M15/100,2),0)</f>
        <v>0</v>
      </c>
      <c r="AD15" s="26">
        <f>IF(Определители!I15="9",ROUND(B15*(100-Начисления!M15)/100,2),0)</f>
        <v>0</v>
      </c>
      <c r="AE15" s="26">
        <f>ROUND('Форма 4'!C188*'Текущие цены за единицу'!AE15,2)</f>
        <v>0</v>
      </c>
      <c r="AH15" s="26">
        <f>ROUND('Форма 4'!C188*'Текущие цены за единицу'!AH15,2)</f>
        <v>0</v>
      </c>
      <c r="AI15" s="26">
        <f>ROUND('Форма 4'!C188*'Текущие цены за единицу'!AI15,2)</f>
        <v>0</v>
      </c>
      <c r="AJ15" s="26">
        <f>ROUND('Форма 4'!C188*'Текущие цены за единицу'!AJ15,2)</f>
        <v>0</v>
      </c>
      <c r="AK15" s="26">
        <f>ROUND('Форма 4'!C188*'Текущие цены за единицу'!AK15,2)</f>
        <v>0</v>
      </c>
    </row>
    <row r="16" spans="1:37" ht="10.5">
      <c r="A16" s="26" t="str">
        <f>'Форма 4'!A207</f>
        <v>11.</v>
      </c>
      <c r="B16" s="26">
        <f t="shared" si="0"/>
        <v>18475.05</v>
      </c>
      <c r="C16" s="26">
        <f>ROUND('Форма 4'!C207*'Текущие цены за единицу'!C16,2)</f>
        <v>0</v>
      </c>
      <c r="D16" s="26">
        <f>ROUND('Форма 4'!C207*'Текущие цены за единицу'!D16,2)</f>
        <v>0</v>
      </c>
      <c r="E16" s="26">
        <f>ROUND('Форма 4'!C207*'Текущие цены за единицу'!E16,2)</f>
        <v>0</v>
      </c>
      <c r="F16" s="26">
        <f>ROUND('Форма 4'!C207*'Текущие цены за единицу'!F16,2)</f>
        <v>18475.05</v>
      </c>
      <c r="G16" s="26">
        <f>ROUND('Форма 4'!C207*'Текущие цены за единицу'!G16,2)</f>
        <v>0</v>
      </c>
      <c r="H16" s="26">
        <f>ROUND('Форма 4'!C207*'Текущие цены за единицу'!H16,2)</f>
        <v>0</v>
      </c>
      <c r="I16" s="30">
        <f>ОКРУГЛВСЕ('Форма 4'!C207*'Текущие цены за единицу'!I16,8)</f>
        <v>0</v>
      </c>
      <c r="J16" s="27">
        <f>ОКРУГЛВСЕ('Форма 4'!C207*'Текущие цены за единицу'!J16,8)</f>
        <v>0</v>
      </c>
      <c r="K16" s="30">
        <f>ОКРУГЛВСЕ('Форма 4'!C207*'Текущие цены за единицу'!K16,8)</f>
        <v>0</v>
      </c>
      <c r="L16" s="26">
        <f>ROUND('Форма 4'!C207*'Текущие цены за единицу'!L16,2)</f>
        <v>0</v>
      </c>
      <c r="M16" s="26">
        <f>ROUND('Форма 4'!C207*'Текущие цены за единицу'!M16,2)</f>
        <v>0</v>
      </c>
      <c r="N16" s="26">
        <f>ROUND((C16+E16)*'Форма 4'!C219/100,2)</f>
        <v>0</v>
      </c>
      <c r="O16" s="26">
        <f>ROUND((C16+E16)*'Форма 4'!C222/100,2)</f>
        <v>0</v>
      </c>
      <c r="P16" s="26">
        <f>ROUND('Форма 4'!C207*'Текущие цены за единицу'!P16,2)</f>
        <v>0</v>
      </c>
      <c r="Q16" s="26">
        <f>ROUND('Форма 4'!C207*'Текущие цены за единицу'!Q16,2)</f>
        <v>0</v>
      </c>
      <c r="R16" s="26">
        <f>ROUND('Форма 4'!C207*'Текущие цены за единицу'!R16,2)</f>
        <v>0</v>
      </c>
      <c r="S16" s="26">
        <f>ROUND('Форма 4'!C207*'Текущие цены за единицу'!S16,2)</f>
        <v>0</v>
      </c>
      <c r="T16" s="26">
        <f>ROUND('Форма 4'!C207*'Текущие цены за единицу'!T16,2)</f>
        <v>0</v>
      </c>
      <c r="U16" s="26">
        <f>ROUND('Форма 4'!C207*'Текущие цены за единицу'!U16,2)</f>
        <v>0</v>
      </c>
      <c r="V16" s="26">
        <f>ROUND('Форма 4'!C207*'Текущие цены за единицу'!V16,2)</f>
        <v>0</v>
      </c>
      <c r="X16" s="26">
        <f>ROUND('Форма 4'!C207*'Текущие цены за единицу'!X16,2)</f>
        <v>0</v>
      </c>
      <c r="Y16" s="26">
        <f>IF(Определители!I16="9",ROUND((C16+E16)*(Начисления!M16/100)*('Форма 4'!C219/100),2),0)</f>
        <v>0</v>
      </c>
      <c r="Z16" s="26">
        <f>IF(Определители!I16="9",ROUND((C16+E16)*(100-Начисления!M16/100)*('Форма 4'!C219/100),2),0)</f>
        <v>0</v>
      </c>
      <c r="AA16" s="26">
        <f>IF(Определители!I16="9",ROUND((C16+E16)*(Начисления!M16/100)*('Форма 4'!C222/100),2),0)</f>
        <v>0</v>
      </c>
      <c r="AB16" s="26">
        <f>IF(Определители!I16="9",ROUND((C16+E16)*(100-Начисления!M16/100)*('Форма 4'!C222/100),2),0)</f>
        <v>0</v>
      </c>
      <c r="AC16" s="26">
        <f>IF(Определители!I16="9",ROUND(B16*Начисления!M16/100,2),0)</f>
        <v>0</v>
      </c>
      <c r="AD16" s="26">
        <f>IF(Определители!I16="9",ROUND(B16*(100-Начисления!M16)/100,2),0)</f>
        <v>0</v>
      </c>
      <c r="AE16" s="26">
        <f>ROUND('Форма 4'!C207*'Текущие цены за единицу'!AE16,2)</f>
        <v>0</v>
      </c>
      <c r="AH16" s="26">
        <f>ROUND('Форма 4'!C207*'Текущие цены за единицу'!AH16,2)</f>
        <v>0</v>
      </c>
      <c r="AI16" s="26">
        <f>ROUND('Форма 4'!C207*'Текущие цены за единицу'!AI16,2)</f>
        <v>0</v>
      </c>
      <c r="AJ16" s="26">
        <f>ROUND('Форма 4'!C207*'Текущие цены за единицу'!AJ16,2)</f>
        <v>0</v>
      </c>
      <c r="AK16" s="26">
        <f>ROUND('Форма 4'!C207*'Текущие цены за единицу'!AK16,2)</f>
        <v>0</v>
      </c>
    </row>
    <row r="17" spans="1:37" ht="10.5">
      <c r="A17" s="26" t="str">
        <f>'Форма 4'!A226</f>
        <v>12.</v>
      </c>
      <c r="B17" s="26">
        <f t="shared" si="0"/>
        <v>41488.51</v>
      </c>
      <c r="C17" s="26">
        <f>ROUND('Форма 4'!C226*'Текущие цены за единицу'!C17,2)</f>
        <v>0</v>
      </c>
      <c r="D17" s="26">
        <f>ROUND('Форма 4'!C226*'Текущие цены за единицу'!D17,2)</f>
        <v>0</v>
      </c>
      <c r="E17" s="26">
        <f>ROUND('Форма 4'!C226*'Текущие цены за единицу'!E17,2)</f>
        <v>0</v>
      </c>
      <c r="F17" s="26">
        <f>ROUND('Форма 4'!C226*'Текущие цены за единицу'!F17,2)</f>
        <v>41488.51</v>
      </c>
      <c r="G17" s="26">
        <f>ROUND('Форма 4'!C226*'Текущие цены за единицу'!G17,2)</f>
        <v>0</v>
      </c>
      <c r="H17" s="26">
        <f>ROUND('Форма 4'!C226*'Текущие цены за единицу'!H17,2)</f>
        <v>0</v>
      </c>
      <c r="I17" s="30">
        <f>ОКРУГЛВСЕ('Форма 4'!C226*'Текущие цены за единицу'!I17,8)</f>
        <v>0</v>
      </c>
      <c r="J17" s="27">
        <f>ОКРУГЛВСЕ('Форма 4'!C226*'Текущие цены за единицу'!J17,8)</f>
        <v>0</v>
      </c>
      <c r="K17" s="30">
        <f>ОКРУГЛВСЕ('Форма 4'!C226*'Текущие цены за единицу'!K17,8)</f>
        <v>0</v>
      </c>
      <c r="L17" s="26">
        <f>ROUND('Форма 4'!C226*'Текущие цены за единицу'!L17,2)</f>
        <v>0</v>
      </c>
      <c r="M17" s="26">
        <f>ROUND('Форма 4'!C226*'Текущие цены за единицу'!M17,2)</f>
        <v>0</v>
      </c>
      <c r="N17" s="26">
        <f>ROUND((C17+E17)*'Форма 4'!C238/100,2)</f>
        <v>0</v>
      </c>
      <c r="O17" s="26">
        <f>ROUND((C17+E17)*'Форма 4'!C241/100,2)</f>
        <v>0</v>
      </c>
      <c r="P17" s="26">
        <f>ROUND('Форма 4'!C226*'Текущие цены за единицу'!P17,2)</f>
        <v>0</v>
      </c>
      <c r="Q17" s="26">
        <f>ROUND('Форма 4'!C226*'Текущие цены за единицу'!Q17,2)</f>
        <v>0</v>
      </c>
      <c r="R17" s="26">
        <f>ROUND('Форма 4'!C226*'Текущие цены за единицу'!R17,2)</f>
        <v>0</v>
      </c>
      <c r="S17" s="26">
        <f>ROUND('Форма 4'!C226*'Текущие цены за единицу'!S17,2)</f>
        <v>0</v>
      </c>
      <c r="T17" s="26">
        <f>ROUND('Форма 4'!C226*'Текущие цены за единицу'!T17,2)</f>
        <v>0</v>
      </c>
      <c r="U17" s="26">
        <f>ROUND('Форма 4'!C226*'Текущие цены за единицу'!U17,2)</f>
        <v>0</v>
      </c>
      <c r="V17" s="26">
        <f>ROUND('Форма 4'!C226*'Текущие цены за единицу'!V17,2)</f>
        <v>0</v>
      </c>
      <c r="X17" s="26">
        <f>ROUND('Форма 4'!C226*'Текущие цены за единицу'!X17,2)</f>
        <v>0</v>
      </c>
      <c r="Y17" s="26">
        <f>IF(Определители!I17="9",ROUND((C17+E17)*(Начисления!M17/100)*('Форма 4'!C238/100),2),0)</f>
        <v>0</v>
      </c>
      <c r="Z17" s="26">
        <f>IF(Определители!I17="9",ROUND((C17+E17)*(100-Начисления!M17/100)*('Форма 4'!C238/100),2),0)</f>
        <v>0</v>
      </c>
      <c r="AA17" s="26">
        <f>IF(Определители!I17="9",ROUND((C17+E17)*(Начисления!M17/100)*('Форма 4'!C241/100),2),0)</f>
        <v>0</v>
      </c>
      <c r="AB17" s="26">
        <f>IF(Определители!I17="9",ROUND((C17+E17)*(100-Начисления!M17/100)*('Форма 4'!C241/100),2),0)</f>
        <v>0</v>
      </c>
      <c r="AC17" s="26">
        <f>IF(Определители!I17="9",ROUND(B17*Начисления!M17/100,2),0)</f>
        <v>0</v>
      </c>
      <c r="AD17" s="26">
        <f>IF(Определители!I17="9",ROUND(B17*(100-Начисления!M17)/100,2),0)</f>
        <v>0</v>
      </c>
      <c r="AE17" s="26">
        <f>ROUND('Форма 4'!C226*'Текущие цены за единицу'!AE17,2)</f>
        <v>0</v>
      </c>
      <c r="AH17" s="26">
        <f>ROUND('Форма 4'!C226*'Текущие цены за единицу'!AH17,2)</f>
        <v>0</v>
      </c>
      <c r="AI17" s="26">
        <f>ROUND('Форма 4'!C226*'Текущие цены за единицу'!AI17,2)</f>
        <v>0</v>
      </c>
      <c r="AJ17" s="26">
        <f>ROUND('Форма 4'!C226*'Текущие цены за единицу'!AJ17,2)</f>
        <v>0</v>
      </c>
      <c r="AK17" s="26">
        <f>ROUND('Форма 4'!C226*'Текущие цены за единицу'!AK17,2)</f>
        <v>0</v>
      </c>
    </row>
    <row r="18" spans="1:37" ht="10.5">
      <c r="A18" s="26" t="str">
        <f>'Форма 4'!A245</f>
        <v>13.</v>
      </c>
      <c r="B18" s="26">
        <f t="shared" si="0"/>
        <v>3630.22</v>
      </c>
      <c r="C18" s="26">
        <f>ROUND('Форма 4'!C245*'Текущие цены за единицу'!C18,2)</f>
        <v>0</v>
      </c>
      <c r="D18" s="26">
        <f>ROUND('Форма 4'!C245*'Текущие цены за единицу'!D18,2)</f>
        <v>0</v>
      </c>
      <c r="E18" s="26">
        <f>ROUND('Форма 4'!C245*'Текущие цены за единицу'!E18,2)</f>
        <v>0</v>
      </c>
      <c r="F18" s="26">
        <f>ROUND('Форма 4'!C245*'Текущие цены за единицу'!F18,2)</f>
        <v>3630.22</v>
      </c>
      <c r="G18" s="26">
        <f>ROUND('Форма 4'!C245*'Текущие цены за единицу'!G18,2)</f>
        <v>0</v>
      </c>
      <c r="H18" s="26">
        <f>ROUND('Форма 4'!C245*'Текущие цены за единицу'!H18,2)</f>
        <v>0</v>
      </c>
      <c r="I18" s="30">
        <f>ОКРУГЛВСЕ('Форма 4'!C245*'Текущие цены за единицу'!I18,8)</f>
        <v>0</v>
      </c>
      <c r="J18" s="27">
        <f>ОКРУГЛВСЕ('Форма 4'!C245*'Текущие цены за единицу'!J18,8)</f>
        <v>0</v>
      </c>
      <c r="K18" s="30">
        <f>ОКРУГЛВСЕ('Форма 4'!C245*'Текущие цены за единицу'!K18,8)</f>
        <v>0</v>
      </c>
      <c r="L18" s="26">
        <f>ROUND('Форма 4'!C245*'Текущие цены за единицу'!L18,2)</f>
        <v>0</v>
      </c>
      <c r="M18" s="26">
        <f>ROUND('Форма 4'!C245*'Текущие цены за единицу'!M18,2)</f>
        <v>0</v>
      </c>
      <c r="N18" s="26">
        <f>ROUND((C18+E18)*'Форма 4'!C257/100,2)</f>
        <v>0</v>
      </c>
      <c r="O18" s="26">
        <f>ROUND((C18+E18)*'Форма 4'!C260/100,2)</f>
        <v>0</v>
      </c>
      <c r="P18" s="26">
        <f>ROUND('Форма 4'!C245*'Текущие цены за единицу'!P18,2)</f>
        <v>0</v>
      </c>
      <c r="Q18" s="26">
        <f>ROUND('Форма 4'!C245*'Текущие цены за единицу'!Q18,2)</f>
        <v>0</v>
      </c>
      <c r="R18" s="26">
        <f>ROUND('Форма 4'!C245*'Текущие цены за единицу'!R18,2)</f>
        <v>0</v>
      </c>
      <c r="S18" s="26">
        <f>ROUND('Форма 4'!C245*'Текущие цены за единицу'!S18,2)</f>
        <v>0</v>
      </c>
      <c r="T18" s="26">
        <f>ROUND('Форма 4'!C245*'Текущие цены за единицу'!T18,2)</f>
        <v>0</v>
      </c>
      <c r="U18" s="26">
        <f>ROUND('Форма 4'!C245*'Текущие цены за единицу'!U18,2)</f>
        <v>0</v>
      </c>
      <c r="V18" s="26">
        <f>ROUND('Форма 4'!C245*'Текущие цены за единицу'!V18,2)</f>
        <v>0</v>
      </c>
      <c r="X18" s="26">
        <f>ROUND('Форма 4'!C245*'Текущие цены за единицу'!X18,2)</f>
        <v>0</v>
      </c>
      <c r="Y18" s="26">
        <f>IF(Определители!I18="9",ROUND((C18+E18)*(Начисления!M18/100)*('Форма 4'!C257/100),2),0)</f>
        <v>0</v>
      </c>
      <c r="Z18" s="26">
        <f>IF(Определители!I18="9",ROUND((C18+E18)*(100-Начисления!M18/100)*('Форма 4'!C257/100),2),0)</f>
        <v>0</v>
      </c>
      <c r="AA18" s="26">
        <f>IF(Определители!I18="9",ROUND((C18+E18)*(Начисления!M18/100)*('Форма 4'!C260/100),2),0)</f>
        <v>0</v>
      </c>
      <c r="AB18" s="26">
        <f>IF(Определители!I18="9",ROUND((C18+E18)*(100-Начисления!M18/100)*('Форма 4'!C260/100),2),0)</f>
        <v>0</v>
      </c>
      <c r="AC18" s="26">
        <f>IF(Определители!I18="9",ROUND(B18*Начисления!M18/100,2),0)</f>
        <v>0</v>
      </c>
      <c r="AD18" s="26">
        <f>IF(Определители!I18="9",ROUND(B18*(100-Начисления!M18)/100,2),0)</f>
        <v>0</v>
      </c>
      <c r="AE18" s="26">
        <f>ROUND('Форма 4'!C245*'Текущие цены за единицу'!AE18,2)</f>
        <v>0</v>
      </c>
      <c r="AH18" s="26">
        <f>ROUND('Форма 4'!C245*'Текущие цены за единицу'!AH18,2)</f>
        <v>0</v>
      </c>
      <c r="AI18" s="26">
        <f>ROUND('Форма 4'!C245*'Текущие цены за единицу'!AI18,2)</f>
        <v>0</v>
      </c>
      <c r="AJ18" s="26">
        <f>ROUND('Форма 4'!C245*'Текущие цены за единицу'!AJ18,2)</f>
        <v>0</v>
      </c>
      <c r="AK18" s="26">
        <f>ROUND('Форма 4'!C245*'Текущие цены за единицу'!AK18,2)</f>
        <v>0</v>
      </c>
    </row>
    <row r="19" spans="1:37" ht="10.5">
      <c r="A19" s="26" t="str">
        <f>'Форма 4'!A264</f>
        <v>14.</v>
      </c>
      <c r="B19" s="26">
        <f t="shared" si="0"/>
        <v>4382.28</v>
      </c>
      <c r="C19" s="26">
        <f>ROUND('Форма 4'!C264*'Текущие цены за единицу'!C19,2)</f>
        <v>0</v>
      </c>
      <c r="D19" s="26">
        <f>ROUND('Форма 4'!C264*'Текущие цены за единицу'!D19,2)</f>
        <v>0</v>
      </c>
      <c r="E19" s="26">
        <f>ROUND('Форма 4'!C264*'Текущие цены за единицу'!E19,2)</f>
        <v>0</v>
      </c>
      <c r="F19" s="26">
        <f>ROUND('Форма 4'!C264*'Текущие цены за единицу'!F19,2)</f>
        <v>4382.28</v>
      </c>
      <c r="G19" s="26">
        <f>ROUND('Форма 4'!C264*'Текущие цены за единицу'!G19,2)</f>
        <v>0</v>
      </c>
      <c r="H19" s="26">
        <f>ROUND('Форма 4'!C264*'Текущие цены за единицу'!H19,2)</f>
        <v>0</v>
      </c>
      <c r="I19" s="30">
        <f>ОКРУГЛВСЕ('Форма 4'!C264*'Текущие цены за единицу'!I19,8)</f>
        <v>0</v>
      </c>
      <c r="J19" s="27">
        <f>ОКРУГЛВСЕ('Форма 4'!C264*'Текущие цены за единицу'!J19,8)</f>
        <v>0</v>
      </c>
      <c r="K19" s="30">
        <f>ОКРУГЛВСЕ('Форма 4'!C264*'Текущие цены за единицу'!K19,8)</f>
        <v>0</v>
      </c>
      <c r="L19" s="26">
        <f>ROUND('Форма 4'!C264*'Текущие цены за единицу'!L19,2)</f>
        <v>0</v>
      </c>
      <c r="M19" s="26">
        <f>ROUND('Форма 4'!C264*'Текущие цены за единицу'!M19,2)</f>
        <v>0</v>
      </c>
      <c r="N19" s="26">
        <f>ROUND((C19+E19)*'Форма 4'!C276/100,2)</f>
        <v>0</v>
      </c>
      <c r="O19" s="26">
        <f>ROUND((C19+E19)*'Форма 4'!C279/100,2)</f>
        <v>0</v>
      </c>
      <c r="P19" s="26">
        <f>ROUND('Форма 4'!C264*'Текущие цены за единицу'!P19,2)</f>
        <v>0</v>
      </c>
      <c r="Q19" s="26">
        <f>ROUND('Форма 4'!C264*'Текущие цены за единицу'!Q19,2)</f>
        <v>0</v>
      </c>
      <c r="R19" s="26">
        <f>ROUND('Форма 4'!C264*'Текущие цены за единицу'!R19,2)</f>
        <v>0</v>
      </c>
      <c r="S19" s="26">
        <f>ROUND('Форма 4'!C264*'Текущие цены за единицу'!S19,2)</f>
        <v>0</v>
      </c>
      <c r="T19" s="26">
        <f>ROUND('Форма 4'!C264*'Текущие цены за единицу'!T19,2)</f>
        <v>0</v>
      </c>
      <c r="U19" s="26">
        <f>ROUND('Форма 4'!C264*'Текущие цены за единицу'!U19,2)</f>
        <v>0</v>
      </c>
      <c r="V19" s="26">
        <f>ROUND('Форма 4'!C264*'Текущие цены за единицу'!V19,2)</f>
        <v>0</v>
      </c>
      <c r="X19" s="26">
        <f>ROUND('Форма 4'!C264*'Текущие цены за единицу'!X19,2)</f>
        <v>0</v>
      </c>
      <c r="Y19" s="26">
        <f>IF(Определители!I19="9",ROUND((C19+E19)*(Начисления!M19/100)*('Форма 4'!C276/100),2),0)</f>
        <v>0</v>
      </c>
      <c r="Z19" s="26">
        <f>IF(Определители!I19="9",ROUND((C19+E19)*(100-Начисления!M19/100)*('Форма 4'!C276/100),2),0)</f>
        <v>0</v>
      </c>
      <c r="AA19" s="26">
        <f>IF(Определители!I19="9",ROUND((C19+E19)*(Начисления!M19/100)*('Форма 4'!C279/100),2),0)</f>
        <v>0</v>
      </c>
      <c r="AB19" s="26">
        <f>IF(Определители!I19="9",ROUND((C19+E19)*(100-Начисления!M19/100)*('Форма 4'!C279/100),2),0)</f>
        <v>0</v>
      </c>
      <c r="AC19" s="26">
        <f>IF(Определители!I19="9",ROUND(B19*Начисления!M19/100,2),0)</f>
        <v>0</v>
      </c>
      <c r="AD19" s="26">
        <f>IF(Определители!I19="9",ROUND(B19*(100-Начисления!M19)/100,2),0)</f>
        <v>0</v>
      </c>
      <c r="AE19" s="26">
        <f>ROUND('Форма 4'!C264*'Текущие цены за единицу'!AE19,2)</f>
        <v>0</v>
      </c>
      <c r="AH19" s="26">
        <f>ROUND('Форма 4'!C264*'Текущие цены за единицу'!AH19,2)</f>
        <v>0</v>
      </c>
      <c r="AI19" s="26">
        <f>ROUND('Форма 4'!C264*'Текущие цены за единицу'!AI19,2)</f>
        <v>0</v>
      </c>
      <c r="AJ19" s="26">
        <f>ROUND('Форма 4'!C264*'Текущие цены за единицу'!AJ19,2)</f>
        <v>0</v>
      </c>
      <c r="AK19" s="26">
        <f>ROUND('Форма 4'!C264*'Текущие цены за единицу'!AK19,2)</f>
        <v>0</v>
      </c>
    </row>
    <row r="20" spans="1:37" ht="10.5">
      <c r="A20" s="26" t="str">
        <f>'Форма 4'!A283</f>
        <v>15.</v>
      </c>
      <c r="B20" s="26">
        <f t="shared" si="0"/>
        <v>6351.84</v>
      </c>
      <c r="C20" s="26">
        <f>ROUND('Форма 4'!C283*'Текущие цены за единицу'!C20,2)</f>
        <v>6351.84</v>
      </c>
      <c r="D20" s="26">
        <f>ROUND('Форма 4'!C283*'Текущие цены за единицу'!D20,2)</f>
        <v>0</v>
      </c>
      <c r="E20" s="26">
        <f>ROUND('Форма 4'!C283*'Текущие цены за единицу'!E20,2)</f>
        <v>0</v>
      </c>
      <c r="F20" s="26">
        <f>ROUND('Форма 4'!C283*'Текущие цены за единицу'!F20,2)</f>
        <v>0</v>
      </c>
      <c r="G20" s="26">
        <f>ROUND('Форма 4'!C283*'Текущие цены за единицу'!G20,2)</f>
        <v>0</v>
      </c>
      <c r="H20" s="26">
        <f>ROUND('Форма 4'!C283*'Текущие цены за единицу'!H20,2)</f>
        <v>0</v>
      </c>
      <c r="I20" s="30">
        <f>ОКРУГЛВСЕ('Форма 4'!C283*'Текущие цены за единицу'!I20,8)</f>
        <v>24.48</v>
      </c>
      <c r="J20" s="27">
        <f>ОКРУГЛВСЕ('Форма 4'!C283*'Текущие цены за единицу'!J20,8)</f>
        <v>0</v>
      </c>
      <c r="K20" s="30">
        <f>ОКРУГЛВСЕ('Форма 4'!C283*'Текущие цены за единицу'!K20,8)</f>
        <v>0</v>
      </c>
      <c r="L20" s="26">
        <f>ROUND('Форма 4'!C283*'Текущие цены за единицу'!L20,2)</f>
        <v>0</v>
      </c>
      <c r="M20" s="26">
        <f>ROUND('Форма 4'!C283*'Текущие цены за единицу'!M20,2)</f>
        <v>0</v>
      </c>
      <c r="N20" s="26">
        <f>ROUND((C20+E20)*'Форма 4'!C295/100,2)</f>
        <v>4859.16</v>
      </c>
      <c r="O20" s="26">
        <f>ROUND((C20+E20)*'Форма 4'!C298/100,2)</f>
        <v>4319.25</v>
      </c>
      <c r="P20" s="26">
        <f>ROUND('Форма 4'!C283*'Текущие цены за единицу'!P20,2)</f>
        <v>4859.16</v>
      </c>
      <c r="Q20" s="26">
        <f>ROUND('Форма 4'!C283*'Текущие цены за единицу'!Q20,2)</f>
        <v>0</v>
      </c>
      <c r="R20" s="26">
        <f>ROUND('Форма 4'!C283*'Текущие цены за единицу'!R20,2)</f>
        <v>4319.25</v>
      </c>
      <c r="S20" s="26">
        <f>ROUND('Форма 4'!C283*'Текущие цены за единицу'!S20,2)</f>
        <v>0</v>
      </c>
      <c r="T20" s="26">
        <f>ROUND('Форма 4'!C283*'Текущие цены за единицу'!T20,2)</f>
        <v>0</v>
      </c>
      <c r="U20" s="26">
        <f>ROUND('Форма 4'!C283*'Текущие цены за единицу'!U20,2)</f>
        <v>0</v>
      </c>
      <c r="V20" s="26">
        <f>ROUND('Форма 4'!C283*'Текущие цены за единицу'!V20,2)</f>
        <v>0</v>
      </c>
      <c r="X20" s="26">
        <f>ROUND('Форма 4'!C283*'Текущие цены за единицу'!X20,2)</f>
        <v>0</v>
      </c>
      <c r="Y20" s="26">
        <f>IF(Определители!I20="9",ROUND((C20+E20)*(Начисления!M20/100)*('Форма 4'!C295/100),2),0)</f>
        <v>0</v>
      </c>
      <c r="Z20" s="26">
        <f>IF(Определители!I20="9",ROUND((C20+E20)*(100-Начисления!M20/100)*('Форма 4'!C295/100),2),0)</f>
        <v>0</v>
      </c>
      <c r="AA20" s="26">
        <f>IF(Определители!I20="9",ROUND((C20+E20)*(Начисления!M20/100)*('Форма 4'!C298/100),2),0)</f>
        <v>0</v>
      </c>
      <c r="AB20" s="26">
        <f>IF(Определители!I20="9",ROUND((C20+E20)*(100-Начисления!M20/100)*('Форма 4'!C298/100),2),0)</f>
        <v>0</v>
      </c>
      <c r="AC20" s="26">
        <f>IF(Определители!I20="9",ROUND(B20*Начисления!M20/100,2),0)</f>
        <v>0</v>
      </c>
      <c r="AD20" s="26">
        <f>IF(Определители!I20="9",ROUND(B20*(100-Начисления!M20)/100,2),0)</f>
        <v>0</v>
      </c>
      <c r="AE20" s="26">
        <f>ROUND('Форма 4'!C283*'Текущие цены за единицу'!AE20,2)</f>
        <v>0</v>
      </c>
      <c r="AH20" s="26">
        <f>ROUND('Форма 4'!C283*'Текущие цены за единицу'!AH20,2)</f>
        <v>0</v>
      </c>
      <c r="AI20" s="26">
        <f>ROUND('Форма 4'!C283*'Текущие цены за единицу'!AI20,2)</f>
        <v>0</v>
      </c>
      <c r="AJ20" s="26">
        <f>ROUND('Форма 4'!C283*'Текущие цены за единицу'!AJ20,2)</f>
        <v>0</v>
      </c>
      <c r="AK20" s="26">
        <f>ROUND('Форма 4'!C283*'Текущие цены за единицу'!AK20,2)</f>
        <v>0</v>
      </c>
    </row>
    <row r="21" spans="1:37" ht="10.5">
      <c r="A21" s="26" t="str">
        <f>'Форма 4'!A302</f>
        <v>16.</v>
      </c>
      <c r="B21" s="26">
        <f t="shared" si="0"/>
        <v>72.36</v>
      </c>
      <c r="C21" s="26">
        <f>ROUND('Форма 4'!C302*'Текущие цены за единицу'!C21,2)</f>
        <v>0</v>
      </c>
      <c r="D21" s="26">
        <f>ROUND('Форма 4'!C302*'Текущие цены за единицу'!D21,2)</f>
        <v>0</v>
      </c>
      <c r="E21" s="26">
        <f>ROUND('Форма 4'!C302*'Текущие цены за единицу'!E21,2)</f>
        <v>0</v>
      </c>
      <c r="F21" s="26">
        <f>ROUND('Форма 4'!C302*'Текущие цены за единицу'!F21,2)</f>
        <v>72.36</v>
      </c>
      <c r="G21" s="26">
        <f>ROUND('Форма 4'!C302*'Текущие цены за единицу'!G21,2)</f>
        <v>0</v>
      </c>
      <c r="H21" s="26">
        <f>ROUND('Форма 4'!C302*'Текущие цены за единицу'!H21,2)</f>
        <v>0</v>
      </c>
      <c r="I21" s="30">
        <f>ОКРУГЛВСЕ('Форма 4'!C302*'Текущие цены за единицу'!I21,8)</f>
        <v>0</v>
      </c>
      <c r="J21" s="27">
        <f>ОКРУГЛВСЕ('Форма 4'!C302*'Текущие цены за единицу'!J21,8)</f>
        <v>0</v>
      </c>
      <c r="K21" s="30">
        <f>ОКРУГЛВСЕ('Форма 4'!C302*'Текущие цены за единицу'!K21,8)</f>
        <v>0</v>
      </c>
      <c r="L21" s="26">
        <f>ROUND('Форма 4'!C302*'Текущие цены за единицу'!L21,2)</f>
        <v>0</v>
      </c>
      <c r="M21" s="26">
        <f>ROUND('Форма 4'!C302*'Текущие цены за единицу'!M21,2)</f>
        <v>0</v>
      </c>
      <c r="N21" s="26">
        <f>ROUND((C21+E21)*'Форма 4'!C314/100,2)</f>
        <v>0</v>
      </c>
      <c r="O21" s="26">
        <f>ROUND((C21+E21)*'Форма 4'!C317/100,2)</f>
        <v>0</v>
      </c>
      <c r="P21" s="26">
        <f>ROUND('Форма 4'!C302*'Текущие цены за единицу'!P21,2)</f>
        <v>0</v>
      </c>
      <c r="Q21" s="26">
        <f>ROUND('Форма 4'!C302*'Текущие цены за единицу'!Q21,2)</f>
        <v>0</v>
      </c>
      <c r="R21" s="26">
        <f>ROUND('Форма 4'!C302*'Текущие цены за единицу'!R21,2)</f>
        <v>0</v>
      </c>
      <c r="S21" s="26">
        <f>ROUND('Форма 4'!C302*'Текущие цены за единицу'!S21,2)</f>
        <v>0</v>
      </c>
      <c r="T21" s="26">
        <f>ROUND('Форма 4'!C302*'Текущие цены за единицу'!T21,2)</f>
        <v>0</v>
      </c>
      <c r="U21" s="26">
        <f>ROUND('Форма 4'!C302*'Текущие цены за единицу'!U21,2)</f>
        <v>0</v>
      </c>
      <c r="V21" s="26">
        <f>ROUND('Форма 4'!C302*'Текущие цены за единицу'!V21,2)</f>
        <v>0</v>
      </c>
      <c r="X21" s="26">
        <f>ROUND('Форма 4'!C302*'Текущие цены за единицу'!X21,2)</f>
        <v>0</v>
      </c>
      <c r="Y21" s="26">
        <f>IF(Определители!I21="9",ROUND((C21+E21)*(Начисления!M21/100)*('Форма 4'!C314/100),2),0)</f>
        <v>0</v>
      </c>
      <c r="Z21" s="26">
        <f>IF(Определители!I21="9",ROUND((C21+E21)*(100-Начисления!M21/100)*('Форма 4'!C314/100),2),0)</f>
        <v>0</v>
      </c>
      <c r="AA21" s="26">
        <f>IF(Определители!I21="9",ROUND((C21+E21)*(Начисления!M21/100)*('Форма 4'!C317/100),2),0)</f>
        <v>0</v>
      </c>
      <c r="AB21" s="26">
        <f>IF(Определители!I21="9",ROUND((C21+E21)*(100-Начисления!M21/100)*('Форма 4'!C317/100),2),0)</f>
        <v>0</v>
      </c>
      <c r="AC21" s="26">
        <f>IF(Определители!I21="9",ROUND(B21*Начисления!M21/100,2),0)</f>
        <v>0</v>
      </c>
      <c r="AD21" s="26">
        <f>IF(Определители!I21="9",ROUND(B21*(100-Начисления!M21)/100,2),0)</f>
        <v>0</v>
      </c>
      <c r="AE21" s="26">
        <f>ROUND('Форма 4'!C302*'Текущие цены за единицу'!AE21,2)</f>
        <v>0</v>
      </c>
      <c r="AH21" s="26">
        <f>ROUND('Форма 4'!C302*'Текущие цены за единицу'!AH21,2)</f>
        <v>0</v>
      </c>
      <c r="AI21" s="26">
        <f>ROUND('Форма 4'!C302*'Текущие цены за единицу'!AI21,2)</f>
        <v>0</v>
      </c>
      <c r="AJ21" s="26">
        <f>ROUND('Форма 4'!C302*'Текущие цены за единицу'!AJ21,2)</f>
        <v>0</v>
      </c>
      <c r="AK21" s="26">
        <f>ROUND('Форма 4'!C302*'Текущие цены за единицу'!AK21,2)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C2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7" customWidth="1"/>
    <col min="2" max="16384" width="9.140625" style="26" customWidth="1"/>
  </cols>
  <sheetData>
    <row r="1" spans="1:55" s="28" customFormat="1" ht="10.5">
      <c r="A1" s="7"/>
      <c r="B1" s="28" t="s">
        <v>190</v>
      </c>
      <c r="C1" s="28" t="s">
        <v>191</v>
      </c>
      <c r="D1" s="28" t="s">
        <v>192</v>
      </c>
      <c r="E1" s="28" t="s">
        <v>193</v>
      </c>
      <c r="F1" s="28" t="s">
        <v>194</v>
      </c>
      <c r="G1" s="28" t="s">
        <v>195</v>
      </c>
      <c r="H1" s="28" t="s">
        <v>196</v>
      </c>
      <c r="I1" s="28" t="s">
        <v>197</v>
      </c>
      <c r="J1" s="28" t="s">
        <v>198</v>
      </c>
      <c r="K1" s="28" t="s">
        <v>199</v>
      </c>
      <c r="L1" s="28" t="s">
        <v>200</v>
      </c>
      <c r="M1" s="28" t="s">
        <v>201</v>
      </c>
      <c r="N1" s="28" t="s">
        <v>202</v>
      </c>
      <c r="O1" s="28" t="s">
        <v>203</v>
      </c>
      <c r="P1" s="28" t="s">
        <v>204</v>
      </c>
      <c r="Q1" s="28" t="s">
        <v>205</v>
      </c>
      <c r="R1" s="28" t="s">
        <v>206</v>
      </c>
      <c r="S1" s="28" t="s">
        <v>207</v>
      </c>
      <c r="T1" s="28" t="s">
        <v>208</v>
      </c>
      <c r="U1" s="28" t="s">
        <v>209</v>
      </c>
      <c r="V1" s="28" t="s">
        <v>210</v>
      </c>
      <c r="W1" s="28" t="s">
        <v>211</v>
      </c>
      <c r="X1" s="28" t="s">
        <v>212</v>
      </c>
      <c r="Y1" s="28" t="s">
        <v>213</v>
      </c>
      <c r="Z1" s="28" t="s">
        <v>214</v>
      </c>
      <c r="AA1" s="28" t="s">
        <v>215</v>
      </c>
      <c r="AB1" s="28" t="s">
        <v>216</v>
      </c>
      <c r="AC1" s="28" t="s">
        <v>217</v>
      </c>
      <c r="AD1" s="28" t="s">
        <v>218</v>
      </c>
      <c r="AE1" s="28" t="s">
        <v>219</v>
      </c>
      <c r="AF1" s="28" t="s">
        <v>220</v>
      </c>
      <c r="AG1" s="28" t="s">
        <v>221</v>
      </c>
      <c r="AH1" s="28" t="s">
        <v>222</v>
      </c>
      <c r="AI1" s="28" t="s">
        <v>223</v>
      </c>
      <c r="AJ1" s="28" t="s">
        <v>224</v>
      </c>
      <c r="AK1" s="28" t="s">
        <v>225</v>
      </c>
      <c r="AL1" s="28" t="s">
        <v>226</v>
      </c>
      <c r="AM1" s="28" t="s">
        <v>227</v>
      </c>
      <c r="AN1" s="28" t="s">
        <v>228</v>
      </c>
      <c r="AO1" s="28" t="s">
        <v>229</v>
      </c>
      <c r="AP1" s="28" t="s">
        <v>230</v>
      </c>
      <c r="AQ1" s="28" t="s">
        <v>231</v>
      </c>
      <c r="AR1" s="28" t="s">
        <v>232</v>
      </c>
      <c r="AS1" s="28" t="s">
        <v>233</v>
      </c>
      <c r="AT1" s="28" t="s">
        <v>234</v>
      </c>
      <c r="AU1" s="28" t="s">
        <v>235</v>
      </c>
      <c r="AV1" s="28" t="s">
        <v>236</v>
      </c>
      <c r="AW1" s="28" t="s">
        <v>237</v>
      </c>
      <c r="AX1" s="28" t="s">
        <v>238</v>
      </c>
      <c r="AY1" s="28" t="s">
        <v>239</v>
      </c>
      <c r="AZ1" s="28" t="s">
        <v>240</v>
      </c>
      <c r="BA1" s="28" t="s">
        <v>241</v>
      </c>
      <c r="BB1" s="28" t="s">
        <v>242</v>
      </c>
      <c r="BC1" s="28" t="s">
        <v>243</v>
      </c>
    </row>
    <row r="2" spans="1:10" ht="10.5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10.5">
      <c r="A3" s="29"/>
      <c r="B3" s="61" t="s">
        <v>188</v>
      </c>
      <c r="C3" s="61"/>
      <c r="D3" s="61"/>
      <c r="E3" s="61"/>
      <c r="F3" s="61"/>
      <c r="G3" s="61"/>
      <c r="H3" s="61"/>
      <c r="I3" s="61"/>
      <c r="J3" s="61"/>
    </row>
    <row r="4" spans="1:10" ht="10.5">
      <c r="A4" s="29"/>
      <c r="B4" s="61" t="s">
        <v>189</v>
      </c>
      <c r="C4" s="61"/>
      <c r="D4" s="61"/>
      <c r="E4" s="61"/>
      <c r="F4" s="61"/>
      <c r="G4" s="61"/>
      <c r="H4" s="61"/>
      <c r="I4" s="61"/>
      <c r="J4" s="61"/>
    </row>
    <row r="5" spans="1:10" ht="10.5">
      <c r="A5" s="59"/>
      <c r="B5" s="60"/>
      <c r="C5" s="60"/>
      <c r="D5" s="60"/>
      <c r="E5" s="60"/>
      <c r="F5" s="60"/>
      <c r="G5" s="60"/>
      <c r="H5" s="60"/>
      <c r="I5" s="60"/>
      <c r="J5" s="60"/>
    </row>
    <row r="6" spans="1:55" ht="10.5">
      <c r="A6" s="27" t="str">
        <f>'Форма 4'!A15</f>
        <v>1.</v>
      </c>
      <c r="B6" s="27">
        <v>1</v>
      </c>
      <c r="C6" s="27">
        <v>1</v>
      </c>
      <c r="D6" s="27">
        <v>1</v>
      </c>
      <c r="E6" s="27">
        <v>1</v>
      </c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>
        <v>0</v>
      </c>
      <c r="L6" s="27">
        <v>0</v>
      </c>
      <c r="M6" s="27">
        <v>100</v>
      </c>
      <c r="N6" s="27">
        <v>0</v>
      </c>
      <c r="O6" s="27">
        <v>0</v>
      </c>
      <c r="P6" s="27">
        <v>1</v>
      </c>
      <c r="Q6" s="27">
        <v>1</v>
      </c>
      <c r="R6" s="27">
        <v>0</v>
      </c>
      <c r="S6" s="27">
        <v>0</v>
      </c>
      <c r="T6" s="27">
        <v>1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1.7</v>
      </c>
      <c r="AH6" s="27">
        <v>1.6</v>
      </c>
      <c r="AI6" s="27">
        <v>1.29</v>
      </c>
      <c r="AJ6" s="27">
        <v>0.092</v>
      </c>
      <c r="AK6" s="27">
        <v>0.18</v>
      </c>
      <c r="AL6" s="27">
        <v>1</v>
      </c>
      <c r="AM6" s="27">
        <v>1</v>
      </c>
      <c r="AN6" s="27">
        <v>0.2</v>
      </c>
      <c r="AO6" s="27">
        <v>1.5</v>
      </c>
      <c r="AP6" s="27">
        <v>1</v>
      </c>
      <c r="AQ6" s="27">
        <v>1</v>
      </c>
      <c r="AR6" s="27">
        <v>1</v>
      </c>
      <c r="AS6" s="27">
        <v>1</v>
      </c>
      <c r="AT6" s="27">
        <v>1</v>
      </c>
      <c r="AU6" s="27">
        <v>100</v>
      </c>
      <c r="AV6" s="27">
        <v>1</v>
      </c>
      <c r="AW6" s="27">
        <v>1</v>
      </c>
      <c r="AX6" s="27">
        <v>1</v>
      </c>
      <c r="AY6" s="27">
        <v>1</v>
      </c>
      <c r="AZ6" s="27">
        <v>1</v>
      </c>
      <c r="BA6" s="27">
        <v>1</v>
      </c>
      <c r="BB6" s="27">
        <v>1</v>
      </c>
      <c r="BC6" s="27">
        <v>1</v>
      </c>
    </row>
    <row r="7" spans="1:55" ht="10.5">
      <c r="A7" s="27" t="str">
        <f>'Форма 4'!A34</f>
        <v>2.</v>
      </c>
      <c r="B7" s="27">
        <v>1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0</v>
      </c>
      <c r="L7" s="27">
        <v>0</v>
      </c>
      <c r="M7" s="27">
        <v>100</v>
      </c>
      <c r="N7" s="27">
        <v>0</v>
      </c>
      <c r="O7" s="27">
        <v>0</v>
      </c>
      <c r="P7" s="27">
        <v>1</v>
      </c>
      <c r="Q7" s="27">
        <v>1</v>
      </c>
      <c r="R7" s="27">
        <v>0</v>
      </c>
      <c r="S7" s="27">
        <v>0</v>
      </c>
      <c r="T7" s="27">
        <v>1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1.7</v>
      </c>
      <c r="AH7" s="27">
        <v>1.6</v>
      </c>
      <c r="AI7" s="27">
        <v>1.29</v>
      </c>
      <c r="AJ7" s="27">
        <v>0.092</v>
      </c>
      <c r="AK7" s="27">
        <v>0.18</v>
      </c>
      <c r="AL7" s="27">
        <v>1</v>
      </c>
      <c r="AM7" s="27">
        <v>1</v>
      </c>
      <c r="AN7" s="27">
        <v>0.2</v>
      </c>
      <c r="AO7" s="27">
        <v>1.5</v>
      </c>
      <c r="AP7" s="27">
        <v>1</v>
      </c>
      <c r="AQ7" s="27">
        <v>1</v>
      </c>
      <c r="AR7" s="27">
        <v>1</v>
      </c>
      <c r="AS7" s="27">
        <v>1</v>
      </c>
      <c r="AT7" s="27">
        <v>1</v>
      </c>
      <c r="AU7" s="27">
        <v>100</v>
      </c>
      <c r="AV7" s="27">
        <v>1</v>
      </c>
      <c r="AW7" s="27">
        <v>1</v>
      </c>
      <c r="AX7" s="27">
        <v>1</v>
      </c>
      <c r="AY7" s="27">
        <v>1</v>
      </c>
      <c r="AZ7" s="27">
        <v>1</v>
      </c>
      <c r="BA7" s="27">
        <v>1</v>
      </c>
      <c r="BB7" s="27">
        <v>1</v>
      </c>
      <c r="BC7" s="27">
        <v>1</v>
      </c>
    </row>
    <row r="8" spans="1:55" ht="10.5">
      <c r="A8" s="27" t="str">
        <f>'Форма 4'!A53</f>
        <v>3.</v>
      </c>
      <c r="B8" s="27">
        <v>1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0</v>
      </c>
      <c r="L8" s="27">
        <v>0</v>
      </c>
      <c r="M8" s="27">
        <v>100</v>
      </c>
      <c r="N8" s="27">
        <v>0</v>
      </c>
      <c r="O8" s="27">
        <v>0</v>
      </c>
      <c r="P8" s="27">
        <v>1</v>
      </c>
      <c r="Q8" s="27">
        <v>1</v>
      </c>
      <c r="R8" s="27">
        <v>0</v>
      </c>
      <c r="S8" s="27">
        <v>0</v>
      </c>
      <c r="T8" s="27">
        <v>1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1.7</v>
      </c>
      <c r="AH8" s="27">
        <v>1.6</v>
      </c>
      <c r="AI8" s="27">
        <v>1.29</v>
      </c>
      <c r="AJ8" s="27">
        <v>0.092</v>
      </c>
      <c r="AK8" s="27">
        <v>0.18</v>
      </c>
      <c r="AL8" s="27">
        <v>1</v>
      </c>
      <c r="AM8" s="27">
        <v>1</v>
      </c>
      <c r="AN8" s="27">
        <v>0.2</v>
      </c>
      <c r="AO8" s="27">
        <v>1.5</v>
      </c>
      <c r="AP8" s="27">
        <v>1</v>
      </c>
      <c r="AQ8" s="27">
        <v>1</v>
      </c>
      <c r="AR8" s="27">
        <v>1</v>
      </c>
      <c r="AS8" s="27">
        <v>1</v>
      </c>
      <c r="AT8" s="27">
        <v>1</v>
      </c>
      <c r="AU8" s="27">
        <v>100</v>
      </c>
      <c r="AV8" s="27">
        <v>1</v>
      </c>
      <c r="AW8" s="27">
        <v>1</v>
      </c>
      <c r="AX8" s="27">
        <v>1</v>
      </c>
      <c r="AY8" s="27">
        <v>1</v>
      </c>
      <c r="AZ8" s="27">
        <v>1</v>
      </c>
      <c r="BA8" s="27">
        <v>1</v>
      </c>
      <c r="BB8" s="27">
        <v>1</v>
      </c>
      <c r="BC8" s="27">
        <v>1</v>
      </c>
    </row>
    <row r="9" spans="1:55" ht="10.5">
      <c r="A9" s="27" t="str">
        <f>'Форма 4'!A72</f>
        <v>4.</v>
      </c>
      <c r="B9" s="27">
        <v>1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0</v>
      </c>
      <c r="L9" s="27">
        <v>0</v>
      </c>
      <c r="M9" s="27">
        <v>100</v>
      </c>
      <c r="N9" s="27">
        <v>0</v>
      </c>
      <c r="O9" s="27">
        <v>0</v>
      </c>
      <c r="P9" s="27">
        <v>1</v>
      </c>
      <c r="Q9" s="27">
        <v>1</v>
      </c>
      <c r="R9" s="27">
        <v>0</v>
      </c>
      <c r="S9" s="27">
        <v>0</v>
      </c>
      <c r="T9" s="27">
        <v>1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1.7</v>
      </c>
      <c r="AH9" s="27">
        <v>1.6</v>
      </c>
      <c r="AI9" s="27">
        <v>1.29</v>
      </c>
      <c r="AJ9" s="27">
        <v>0.092</v>
      </c>
      <c r="AK9" s="27">
        <v>0.18</v>
      </c>
      <c r="AL9" s="27">
        <v>1</v>
      </c>
      <c r="AM9" s="27">
        <v>1</v>
      </c>
      <c r="AN9" s="27">
        <v>0.2</v>
      </c>
      <c r="AO9" s="27">
        <v>1.5</v>
      </c>
      <c r="AP9" s="27">
        <v>1</v>
      </c>
      <c r="AQ9" s="27">
        <v>1</v>
      </c>
      <c r="AR9" s="27">
        <v>1</v>
      </c>
      <c r="AS9" s="27">
        <v>1</v>
      </c>
      <c r="AT9" s="27">
        <v>1</v>
      </c>
      <c r="AU9" s="27">
        <v>100</v>
      </c>
      <c r="AV9" s="27">
        <v>1</v>
      </c>
      <c r="AW9" s="27">
        <v>1</v>
      </c>
      <c r="AX9" s="27">
        <v>1</v>
      </c>
      <c r="AY9" s="27">
        <v>1</v>
      </c>
      <c r="AZ9" s="27">
        <v>1</v>
      </c>
      <c r="BA9" s="27">
        <v>1</v>
      </c>
      <c r="BB9" s="27">
        <v>1</v>
      </c>
      <c r="BC9" s="27">
        <v>1</v>
      </c>
    </row>
    <row r="10" spans="1:55" ht="10.5">
      <c r="A10" s="27" t="str">
        <f>'Форма 4'!A91</f>
        <v>5.</v>
      </c>
      <c r="B10" s="27">
        <v>1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>
        <v>0</v>
      </c>
      <c r="L10" s="27">
        <v>0</v>
      </c>
      <c r="M10" s="27">
        <v>100</v>
      </c>
      <c r="N10" s="27">
        <v>0</v>
      </c>
      <c r="O10" s="27">
        <v>0</v>
      </c>
      <c r="P10" s="27">
        <v>1</v>
      </c>
      <c r="Q10" s="27">
        <v>1</v>
      </c>
      <c r="R10" s="27">
        <v>0</v>
      </c>
      <c r="S10" s="27">
        <v>0</v>
      </c>
      <c r="T10" s="27">
        <v>1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1.7</v>
      </c>
      <c r="AH10" s="27">
        <v>1.6</v>
      </c>
      <c r="AI10" s="27">
        <v>1.29</v>
      </c>
      <c r="AJ10" s="27">
        <v>0.092</v>
      </c>
      <c r="AK10" s="27">
        <v>0.18</v>
      </c>
      <c r="AL10" s="27">
        <v>1</v>
      </c>
      <c r="AM10" s="27">
        <v>1</v>
      </c>
      <c r="AN10" s="27">
        <v>0.2</v>
      </c>
      <c r="AO10" s="27">
        <v>1.5</v>
      </c>
      <c r="AP10" s="27">
        <v>1</v>
      </c>
      <c r="AQ10" s="27">
        <v>1</v>
      </c>
      <c r="AR10" s="27">
        <v>1</v>
      </c>
      <c r="AS10" s="27">
        <v>1</v>
      </c>
      <c r="AT10" s="27">
        <v>1</v>
      </c>
      <c r="AU10" s="27">
        <v>100</v>
      </c>
      <c r="AV10" s="27">
        <v>1</v>
      </c>
      <c r="AW10" s="27">
        <v>1</v>
      </c>
      <c r="AX10" s="27">
        <v>1</v>
      </c>
      <c r="AY10" s="27">
        <v>1</v>
      </c>
      <c r="AZ10" s="27">
        <v>1</v>
      </c>
      <c r="BA10" s="27">
        <v>1</v>
      </c>
      <c r="BB10" s="27">
        <v>1</v>
      </c>
      <c r="BC10" s="27">
        <v>1</v>
      </c>
    </row>
    <row r="11" spans="1:55" ht="10.5">
      <c r="A11" s="27" t="str">
        <f>'Форма 4'!A110</f>
        <v>6.</v>
      </c>
      <c r="B11" s="27">
        <v>1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0</v>
      </c>
      <c r="L11" s="27">
        <v>0</v>
      </c>
      <c r="M11" s="27">
        <v>100</v>
      </c>
      <c r="N11" s="27">
        <v>0</v>
      </c>
      <c r="O11" s="27">
        <v>0</v>
      </c>
      <c r="P11" s="27">
        <v>1</v>
      </c>
      <c r="Q11" s="27">
        <v>1</v>
      </c>
      <c r="R11" s="27">
        <v>0</v>
      </c>
      <c r="S11" s="27">
        <v>0</v>
      </c>
      <c r="T11" s="27">
        <v>1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1.7</v>
      </c>
      <c r="AH11" s="27">
        <v>1.6</v>
      </c>
      <c r="AI11" s="27">
        <v>1.29</v>
      </c>
      <c r="AJ11" s="27">
        <v>0.092</v>
      </c>
      <c r="AK11" s="27">
        <v>0.18</v>
      </c>
      <c r="AL11" s="27">
        <v>1</v>
      </c>
      <c r="AM11" s="27">
        <v>1</v>
      </c>
      <c r="AN11" s="27">
        <v>0.2</v>
      </c>
      <c r="AO11" s="27">
        <v>1.5</v>
      </c>
      <c r="AP11" s="27">
        <v>1</v>
      </c>
      <c r="AQ11" s="27">
        <v>1</v>
      </c>
      <c r="AR11" s="27">
        <v>1</v>
      </c>
      <c r="AS11" s="27">
        <v>1</v>
      </c>
      <c r="AT11" s="27">
        <v>1</v>
      </c>
      <c r="AU11" s="27">
        <v>100</v>
      </c>
      <c r="AV11" s="27">
        <v>1</v>
      </c>
      <c r="AW11" s="27">
        <v>1</v>
      </c>
      <c r="AX11" s="27">
        <v>1</v>
      </c>
      <c r="AY11" s="27">
        <v>1</v>
      </c>
      <c r="AZ11" s="27">
        <v>1</v>
      </c>
      <c r="BA11" s="27">
        <v>1</v>
      </c>
      <c r="BB11" s="27">
        <v>1</v>
      </c>
      <c r="BC11" s="27">
        <v>1</v>
      </c>
    </row>
    <row r="12" spans="1:55" ht="10.5">
      <c r="A12" s="27" t="str">
        <f>'Форма 4'!A129</f>
        <v>7.</v>
      </c>
      <c r="B12" s="27">
        <v>1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>
        <v>0</v>
      </c>
      <c r="L12" s="27">
        <v>0</v>
      </c>
      <c r="M12" s="27">
        <v>100</v>
      </c>
      <c r="N12" s="27">
        <v>0</v>
      </c>
      <c r="O12" s="27">
        <v>0</v>
      </c>
      <c r="P12" s="27">
        <v>1</v>
      </c>
      <c r="Q12" s="27">
        <v>1</v>
      </c>
      <c r="R12" s="27">
        <v>0</v>
      </c>
      <c r="S12" s="27">
        <v>0</v>
      </c>
      <c r="T12" s="27">
        <v>1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1.7</v>
      </c>
      <c r="AH12" s="27">
        <v>1.6</v>
      </c>
      <c r="AI12" s="27">
        <v>1.29</v>
      </c>
      <c r="AJ12" s="27">
        <v>0.092</v>
      </c>
      <c r="AK12" s="27">
        <v>0.18</v>
      </c>
      <c r="AL12" s="27">
        <v>1</v>
      </c>
      <c r="AM12" s="27">
        <v>1</v>
      </c>
      <c r="AN12" s="27">
        <v>0.2</v>
      </c>
      <c r="AO12" s="27">
        <v>1.5</v>
      </c>
      <c r="AP12" s="27">
        <v>1</v>
      </c>
      <c r="AQ12" s="27">
        <v>1</v>
      </c>
      <c r="AR12" s="27">
        <v>1</v>
      </c>
      <c r="AS12" s="27">
        <v>1</v>
      </c>
      <c r="AT12" s="27">
        <v>1</v>
      </c>
      <c r="AU12" s="27">
        <v>100</v>
      </c>
      <c r="AV12" s="27">
        <v>1</v>
      </c>
      <c r="AW12" s="27">
        <v>1</v>
      </c>
      <c r="AX12" s="27">
        <v>1</v>
      </c>
      <c r="AY12" s="27">
        <v>1</v>
      </c>
      <c r="AZ12" s="27">
        <v>1</v>
      </c>
      <c r="BA12" s="27">
        <v>1</v>
      </c>
      <c r="BB12" s="27">
        <v>1</v>
      </c>
      <c r="BC12" s="27">
        <v>1</v>
      </c>
    </row>
    <row r="13" spans="1:55" ht="10.5">
      <c r="A13" s="27" t="str">
        <f>'Форма 4'!A148</f>
        <v>8.</v>
      </c>
      <c r="B13" s="27">
        <v>1</v>
      </c>
      <c r="C13" s="27">
        <v>1</v>
      </c>
      <c r="D13" s="27">
        <v>1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>
        <v>0</v>
      </c>
      <c r="L13" s="27">
        <v>0</v>
      </c>
      <c r="M13" s="27">
        <v>100</v>
      </c>
      <c r="N13" s="27">
        <v>0</v>
      </c>
      <c r="O13" s="27">
        <v>0</v>
      </c>
      <c r="P13" s="27">
        <v>1</v>
      </c>
      <c r="Q13" s="27">
        <v>1</v>
      </c>
      <c r="R13" s="27">
        <v>0</v>
      </c>
      <c r="S13" s="27">
        <v>0</v>
      </c>
      <c r="T13" s="27">
        <v>1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1.7</v>
      </c>
      <c r="AH13" s="27">
        <v>1.6</v>
      </c>
      <c r="AI13" s="27">
        <v>1.29</v>
      </c>
      <c r="AJ13" s="27">
        <v>0.092</v>
      </c>
      <c r="AK13" s="27">
        <v>0.18</v>
      </c>
      <c r="AL13" s="27">
        <v>1</v>
      </c>
      <c r="AM13" s="27">
        <v>1</v>
      </c>
      <c r="AN13" s="27">
        <v>0.2</v>
      </c>
      <c r="AO13" s="27">
        <v>1.5</v>
      </c>
      <c r="AP13" s="27">
        <v>1</v>
      </c>
      <c r="AQ13" s="27">
        <v>1</v>
      </c>
      <c r="AR13" s="27">
        <v>1</v>
      </c>
      <c r="AS13" s="27">
        <v>1</v>
      </c>
      <c r="AT13" s="27">
        <v>1</v>
      </c>
      <c r="AU13" s="27">
        <v>100</v>
      </c>
      <c r="AV13" s="27">
        <v>1</v>
      </c>
      <c r="AW13" s="27">
        <v>1</v>
      </c>
      <c r="AX13" s="27">
        <v>1</v>
      </c>
      <c r="AY13" s="27">
        <v>1</v>
      </c>
      <c r="AZ13" s="27">
        <v>1</v>
      </c>
      <c r="BA13" s="27">
        <v>1</v>
      </c>
      <c r="BB13" s="27">
        <v>1</v>
      </c>
      <c r="BC13" s="27">
        <v>1</v>
      </c>
    </row>
    <row r="14" spans="1:55" ht="10.5">
      <c r="A14" s="27" t="str">
        <f>'Форма 4'!A167</f>
        <v>9.</v>
      </c>
      <c r="B14" s="27">
        <v>1</v>
      </c>
      <c r="C14" s="27">
        <v>1</v>
      </c>
      <c r="D14" s="27">
        <v>1</v>
      </c>
      <c r="E14" s="27">
        <v>1</v>
      </c>
      <c r="F14" s="27">
        <v>1</v>
      </c>
      <c r="G14" s="27">
        <v>1</v>
      </c>
      <c r="H14" s="27">
        <v>1</v>
      </c>
      <c r="I14" s="27">
        <v>1</v>
      </c>
      <c r="J14" s="27">
        <v>1</v>
      </c>
      <c r="K14" s="27">
        <v>0</v>
      </c>
      <c r="L14" s="27">
        <v>0</v>
      </c>
      <c r="M14" s="27">
        <v>100</v>
      </c>
      <c r="N14" s="27">
        <v>0</v>
      </c>
      <c r="O14" s="27">
        <v>0</v>
      </c>
      <c r="P14" s="27">
        <v>1</v>
      </c>
      <c r="Q14" s="27">
        <v>1</v>
      </c>
      <c r="R14" s="27">
        <v>0</v>
      </c>
      <c r="S14" s="27">
        <v>0</v>
      </c>
      <c r="T14" s="27">
        <v>1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1.7</v>
      </c>
      <c r="AH14" s="27">
        <v>1.6</v>
      </c>
      <c r="AI14" s="27">
        <v>1.29</v>
      </c>
      <c r="AJ14" s="27">
        <v>0.092</v>
      </c>
      <c r="AK14" s="27">
        <v>0.18</v>
      </c>
      <c r="AL14" s="27">
        <v>1</v>
      </c>
      <c r="AM14" s="27">
        <v>1</v>
      </c>
      <c r="AN14" s="27">
        <v>0.2</v>
      </c>
      <c r="AO14" s="27">
        <v>1.5</v>
      </c>
      <c r="AP14" s="27">
        <v>1</v>
      </c>
      <c r="AQ14" s="27">
        <v>1</v>
      </c>
      <c r="AR14" s="27">
        <v>1</v>
      </c>
      <c r="AS14" s="27">
        <v>1</v>
      </c>
      <c r="AT14" s="27">
        <v>1</v>
      </c>
      <c r="AU14" s="27">
        <v>100</v>
      </c>
      <c r="AV14" s="27">
        <v>1</v>
      </c>
      <c r="AW14" s="27">
        <v>1</v>
      </c>
      <c r="AX14" s="27">
        <v>1</v>
      </c>
      <c r="AY14" s="27">
        <v>1</v>
      </c>
      <c r="AZ14" s="27">
        <v>1</v>
      </c>
      <c r="BA14" s="27">
        <v>1</v>
      </c>
      <c r="BB14" s="27">
        <v>1</v>
      </c>
      <c r="BC14" s="27">
        <v>1</v>
      </c>
    </row>
    <row r="15" spans="1:55" ht="10.5">
      <c r="A15" s="27" t="str">
        <f>'Форма 4'!A188</f>
        <v>10.</v>
      </c>
      <c r="B15" s="27">
        <v>1</v>
      </c>
      <c r="C15" s="27">
        <v>1</v>
      </c>
      <c r="D15" s="27">
        <v>1</v>
      </c>
      <c r="E15" s="27">
        <v>1</v>
      </c>
      <c r="F15" s="27">
        <v>1</v>
      </c>
      <c r="G15" s="27">
        <v>1</v>
      </c>
      <c r="H15" s="27">
        <v>1</v>
      </c>
      <c r="I15" s="27">
        <v>1</v>
      </c>
      <c r="J15" s="27">
        <v>1</v>
      </c>
      <c r="K15" s="27">
        <v>0</v>
      </c>
      <c r="L15" s="27">
        <v>0</v>
      </c>
      <c r="M15" s="27">
        <v>100</v>
      </c>
      <c r="N15" s="27">
        <v>0</v>
      </c>
      <c r="O15" s="27">
        <v>0</v>
      </c>
      <c r="P15" s="27">
        <v>1</v>
      </c>
      <c r="Q15" s="27">
        <v>1</v>
      </c>
      <c r="R15" s="27">
        <v>0</v>
      </c>
      <c r="S15" s="27">
        <v>0</v>
      </c>
      <c r="T15" s="27">
        <v>1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1.7</v>
      </c>
      <c r="AH15" s="27">
        <v>1.6</v>
      </c>
      <c r="AI15" s="27">
        <v>1.29</v>
      </c>
      <c r="AJ15" s="27">
        <v>0.092</v>
      </c>
      <c r="AK15" s="27">
        <v>0.18</v>
      </c>
      <c r="AL15" s="27">
        <v>1</v>
      </c>
      <c r="AM15" s="27">
        <v>1</v>
      </c>
      <c r="AN15" s="27">
        <v>0.2</v>
      </c>
      <c r="AO15" s="27">
        <v>1.5</v>
      </c>
      <c r="AP15" s="27">
        <v>1</v>
      </c>
      <c r="AQ15" s="27">
        <v>1</v>
      </c>
      <c r="AR15" s="27">
        <v>1</v>
      </c>
      <c r="AS15" s="27">
        <v>1</v>
      </c>
      <c r="AT15" s="27">
        <v>1</v>
      </c>
      <c r="AU15" s="27">
        <v>100</v>
      </c>
      <c r="AV15" s="27">
        <v>1</v>
      </c>
      <c r="AW15" s="27">
        <v>1</v>
      </c>
      <c r="AX15" s="27">
        <v>1</v>
      </c>
      <c r="AY15" s="27">
        <v>1</v>
      </c>
      <c r="AZ15" s="27">
        <v>1</v>
      </c>
      <c r="BA15" s="27">
        <v>1</v>
      </c>
      <c r="BB15" s="27">
        <v>1</v>
      </c>
      <c r="BC15" s="27">
        <v>1</v>
      </c>
    </row>
    <row r="16" spans="1:55" ht="10.5">
      <c r="A16" s="27" t="str">
        <f>'Форма 4'!A207</f>
        <v>11.</v>
      </c>
      <c r="B16" s="27">
        <v>1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0</v>
      </c>
      <c r="L16" s="27">
        <v>0</v>
      </c>
      <c r="M16" s="27">
        <v>100</v>
      </c>
      <c r="N16" s="27">
        <v>0</v>
      </c>
      <c r="O16" s="27">
        <v>0</v>
      </c>
      <c r="P16" s="27">
        <v>1</v>
      </c>
      <c r="Q16" s="27">
        <v>1</v>
      </c>
      <c r="R16" s="27">
        <v>0</v>
      </c>
      <c r="S16" s="27">
        <v>0</v>
      </c>
      <c r="T16" s="27">
        <v>1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1.7</v>
      </c>
      <c r="AH16" s="27">
        <v>1.6</v>
      </c>
      <c r="AI16" s="27">
        <v>1.29</v>
      </c>
      <c r="AJ16" s="27">
        <v>0.092</v>
      </c>
      <c r="AK16" s="27">
        <v>0.18</v>
      </c>
      <c r="AL16" s="27">
        <v>1</v>
      </c>
      <c r="AM16" s="27">
        <v>1</v>
      </c>
      <c r="AN16" s="27">
        <v>0.2</v>
      </c>
      <c r="AO16" s="27">
        <v>1.5</v>
      </c>
      <c r="AP16" s="27">
        <v>1</v>
      </c>
      <c r="AQ16" s="27">
        <v>1</v>
      </c>
      <c r="AR16" s="27">
        <v>1</v>
      </c>
      <c r="AS16" s="27">
        <v>1</v>
      </c>
      <c r="AT16" s="27">
        <v>1</v>
      </c>
      <c r="AU16" s="27">
        <v>100</v>
      </c>
      <c r="AV16" s="27">
        <v>1</v>
      </c>
      <c r="AW16" s="27">
        <v>1</v>
      </c>
      <c r="AX16" s="27">
        <v>1</v>
      </c>
      <c r="AY16" s="27">
        <v>1</v>
      </c>
      <c r="AZ16" s="27">
        <v>1</v>
      </c>
      <c r="BA16" s="27">
        <v>1</v>
      </c>
      <c r="BB16" s="27">
        <v>1</v>
      </c>
      <c r="BC16" s="27">
        <v>1</v>
      </c>
    </row>
    <row r="17" spans="1:55" ht="10.5">
      <c r="A17" s="27" t="str">
        <f>'Форма 4'!A226</f>
        <v>12.</v>
      </c>
      <c r="B17" s="27">
        <v>1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0</v>
      </c>
      <c r="L17" s="27">
        <v>0</v>
      </c>
      <c r="M17" s="27">
        <v>100</v>
      </c>
      <c r="N17" s="27">
        <v>0</v>
      </c>
      <c r="O17" s="27">
        <v>0</v>
      </c>
      <c r="P17" s="27">
        <v>1</v>
      </c>
      <c r="Q17" s="27">
        <v>1</v>
      </c>
      <c r="R17" s="27">
        <v>0</v>
      </c>
      <c r="S17" s="27">
        <v>0</v>
      </c>
      <c r="T17" s="27">
        <v>1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1.7</v>
      </c>
      <c r="AH17" s="27">
        <v>1.6</v>
      </c>
      <c r="AI17" s="27">
        <v>1.29</v>
      </c>
      <c r="AJ17" s="27">
        <v>0.092</v>
      </c>
      <c r="AK17" s="27">
        <v>0.18</v>
      </c>
      <c r="AL17" s="27">
        <v>1</v>
      </c>
      <c r="AM17" s="27">
        <v>1</v>
      </c>
      <c r="AN17" s="27">
        <v>0.2</v>
      </c>
      <c r="AO17" s="27">
        <v>1.5</v>
      </c>
      <c r="AP17" s="27">
        <v>1</v>
      </c>
      <c r="AQ17" s="27">
        <v>1</v>
      </c>
      <c r="AR17" s="27">
        <v>1</v>
      </c>
      <c r="AS17" s="27">
        <v>1</v>
      </c>
      <c r="AT17" s="27">
        <v>1</v>
      </c>
      <c r="AU17" s="27">
        <v>100</v>
      </c>
      <c r="AV17" s="27">
        <v>1</v>
      </c>
      <c r="AW17" s="27">
        <v>1</v>
      </c>
      <c r="AX17" s="27">
        <v>1</v>
      </c>
      <c r="AY17" s="27">
        <v>1</v>
      </c>
      <c r="AZ17" s="27">
        <v>1</v>
      </c>
      <c r="BA17" s="27">
        <v>1</v>
      </c>
      <c r="BB17" s="27">
        <v>1</v>
      </c>
      <c r="BC17" s="27">
        <v>1</v>
      </c>
    </row>
    <row r="18" spans="1:55" ht="10.5">
      <c r="A18" s="27" t="str">
        <f>'Форма 4'!A245</f>
        <v>13.</v>
      </c>
      <c r="B18" s="27">
        <v>1</v>
      </c>
      <c r="C18" s="27">
        <v>1</v>
      </c>
      <c r="D18" s="27">
        <v>1</v>
      </c>
      <c r="E18" s="27">
        <v>1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>
        <v>0</v>
      </c>
      <c r="L18" s="27">
        <v>0</v>
      </c>
      <c r="M18" s="27">
        <v>100</v>
      </c>
      <c r="N18" s="27">
        <v>0</v>
      </c>
      <c r="O18" s="27">
        <v>0</v>
      </c>
      <c r="P18" s="27">
        <v>1</v>
      </c>
      <c r="Q18" s="27">
        <v>1</v>
      </c>
      <c r="R18" s="27">
        <v>0</v>
      </c>
      <c r="S18" s="27">
        <v>0</v>
      </c>
      <c r="T18" s="27">
        <v>1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1.7</v>
      </c>
      <c r="AH18" s="27">
        <v>1.6</v>
      </c>
      <c r="AI18" s="27">
        <v>1.29</v>
      </c>
      <c r="AJ18" s="27">
        <v>0.092</v>
      </c>
      <c r="AK18" s="27">
        <v>0.18</v>
      </c>
      <c r="AL18" s="27">
        <v>1</v>
      </c>
      <c r="AM18" s="27">
        <v>1</v>
      </c>
      <c r="AN18" s="27">
        <v>0.2</v>
      </c>
      <c r="AO18" s="27">
        <v>1.5</v>
      </c>
      <c r="AP18" s="27">
        <v>1</v>
      </c>
      <c r="AQ18" s="27">
        <v>1</v>
      </c>
      <c r="AR18" s="27">
        <v>1</v>
      </c>
      <c r="AS18" s="27">
        <v>1</v>
      </c>
      <c r="AT18" s="27">
        <v>1</v>
      </c>
      <c r="AU18" s="27">
        <v>100</v>
      </c>
      <c r="AV18" s="27">
        <v>1</v>
      </c>
      <c r="AW18" s="27">
        <v>1</v>
      </c>
      <c r="AX18" s="27">
        <v>1</v>
      </c>
      <c r="AY18" s="27">
        <v>1</v>
      </c>
      <c r="AZ18" s="27">
        <v>1</v>
      </c>
      <c r="BA18" s="27">
        <v>1</v>
      </c>
      <c r="BB18" s="27">
        <v>1</v>
      </c>
      <c r="BC18" s="27">
        <v>1</v>
      </c>
    </row>
    <row r="19" spans="1:55" ht="10.5">
      <c r="A19" s="27" t="str">
        <f>'Форма 4'!A264</f>
        <v>14.</v>
      </c>
      <c r="B19" s="27">
        <v>1</v>
      </c>
      <c r="C19" s="27">
        <v>1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27">
        <v>1</v>
      </c>
      <c r="J19" s="27">
        <v>1</v>
      </c>
      <c r="K19" s="27">
        <v>0</v>
      </c>
      <c r="L19" s="27">
        <v>0</v>
      </c>
      <c r="M19" s="27">
        <v>100</v>
      </c>
      <c r="N19" s="27">
        <v>0</v>
      </c>
      <c r="O19" s="27">
        <v>0</v>
      </c>
      <c r="P19" s="27">
        <v>1</v>
      </c>
      <c r="Q19" s="27">
        <v>1</v>
      </c>
      <c r="R19" s="27">
        <v>0</v>
      </c>
      <c r="S19" s="27">
        <v>0</v>
      </c>
      <c r="T19" s="27">
        <v>1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1.7</v>
      </c>
      <c r="AH19" s="27">
        <v>1.6</v>
      </c>
      <c r="AI19" s="27">
        <v>1.29</v>
      </c>
      <c r="AJ19" s="27">
        <v>0.092</v>
      </c>
      <c r="AK19" s="27">
        <v>0.18</v>
      </c>
      <c r="AL19" s="27">
        <v>1</v>
      </c>
      <c r="AM19" s="27">
        <v>1</v>
      </c>
      <c r="AN19" s="27">
        <v>0.2</v>
      </c>
      <c r="AO19" s="27">
        <v>1.5</v>
      </c>
      <c r="AP19" s="27">
        <v>1</v>
      </c>
      <c r="AQ19" s="27">
        <v>1</v>
      </c>
      <c r="AR19" s="27">
        <v>1</v>
      </c>
      <c r="AS19" s="27">
        <v>1</v>
      </c>
      <c r="AT19" s="27">
        <v>1</v>
      </c>
      <c r="AU19" s="27">
        <v>100</v>
      </c>
      <c r="AV19" s="27">
        <v>1</v>
      </c>
      <c r="AW19" s="27">
        <v>1</v>
      </c>
      <c r="AX19" s="27">
        <v>1</v>
      </c>
      <c r="AY19" s="27">
        <v>1</v>
      </c>
      <c r="AZ19" s="27">
        <v>1</v>
      </c>
      <c r="BA19" s="27">
        <v>1</v>
      </c>
      <c r="BB19" s="27">
        <v>1</v>
      </c>
      <c r="BC19" s="27">
        <v>1</v>
      </c>
    </row>
    <row r="20" spans="1:55" ht="10.5">
      <c r="A20" s="27" t="str">
        <f>'Форма 4'!A283</f>
        <v>15.</v>
      </c>
      <c r="B20" s="27">
        <v>1</v>
      </c>
      <c r="C20" s="27">
        <v>1</v>
      </c>
      <c r="D20" s="27">
        <v>1</v>
      </c>
      <c r="E20" s="27">
        <v>1</v>
      </c>
      <c r="F20" s="27">
        <v>1</v>
      </c>
      <c r="G20" s="27">
        <v>1</v>
      </c>
      <c r="H20" s="27">
        <v>1</v>
      </c>
      <c r="I20" s="27">
        <v>1</v>
      </c>
      <c r="J20" s="27">
        <v>1</v>
      </c>
      <c r="K20" s="27">
        <v>0</v>
      </c>
      <c r="L20" s="27">
        <v>0</v>
      </c>
      <c r="M20" s="27">
        <v>100</v>
      </c>
      <c r="N20" s="27">
        <v>0</v>
      </c>
      <c r="O20" s="27">
        <v>0</v>
      </c>
      <c r="P20" s="27">
        <v>1</v>
      </c>
      <c r="Q20" s="27">
        <v>1</v>
      </c>
      <c r="R20" s="27">
        <v>0</v>
      </c>
      <c r="S20" s="27">
        <v>0</v>
      </c>
      <c r="T20" s="27">
        <v>1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1.7</v>
      </c>
      <c r="AH20" s="27">
        <v>1.6</v>
      </c>
      <c r="AI20" s="27">
        <v>1.29</v>
      </c>
      <c r="AJ20" s="27">
        <v>0.092</v>
      </c>
      <c r="AK20" s="27">
        <v>0.18</v>
      </c>
      <c r="AL20" s="27">
        <v>1</v>
      </c>
      <c r="AM20" s="27">
        <v>1</v>
      </c>
      <c r="AN20" s="27">
        <v>0.2</v>
      </c>
      <c r="AO20" s="27">
        <v>1.5</v>
      </c>
      <c r="AP20" s="27">
        <v>1</v>
      </c>
      <c r="AQ20" s="27">
        <v>1</v>
      </c>
      <c r="AR20" s="27">
        <v>1</v>
      </c>
      <c r="AS20" s="27">
        <v>1</v>
      </c>
      <c r="AT20" s="27">
        <v>1</v>
      </c>
      <c r="AU20" s="27">
        <v>100</v>
      </c>
      <c r="AV20" s="27">
        <v>1</v>
      </c>
      <c r="AW20" s="27">
        <v>1</v>
      </c>
      <c r="AX20" s="27">
        <v>1</v>
      </c>
      <c r="AY20" s="27">
        <v>1</v>
      </c>
      <c r="AZ20" s="27">
        <v>1</v>
      </c>
      <c r="BA20" s="27">
        <v>1</v>
      </c>
      <c r="BB20" s="27">
        <v>1</v>
      </c>
      <c r="BC20" s="27">
        <v>1</v>
      </c>
    </row>
    <row r="21" spans="1:55" ht="10.5">
      <c r="A21" s="27" t="str">
        <f>'Форма 4'!A302</f>
        <v>16.</v>
      </c>
      <c r="B21" s="27">
        <v>1</v>
      </c>
      <c r="C21" s="27">
        <v>1</v>
      </c>
      <c r="D21" s="27">
        <v>1</v>
      </c>
      <c r="E21" s="27">
        <v>1</v>
      </c>
      <c r="F21" s="27">
        <v>1</v>
      </c>
      <c r="G21" s="27">
        <v>1</v>
      </c>
      <c r="H21" s="27">
        <v>1</v>
      </c>
      <c r="I21" s="27">
        <v>1</v>
      </c>
      <c r="J21" s="27">
        <v>1</v>
      </c>
      <c r="K21" s="27">
        <v>0</v>
      </c>
      <c r="L21" s="27">
        <v>0</v>
      </c>
      <c r="M21" s="27">
        <v>100</v>
      </c>
      <c r="N21" s="27">
        <v>0</v>
      </c>
      <c r="O21" s="27">
        <v>0</v>
      </c>
      <c r="P21" s="27">
        <v>1</v>
      </c>
      <c r="Q21" s="27">
        <v>1</v>
      </c>
      <c r="R21" s="27">
        <v>0</v>
      </c>
      <c r="S21" s="27">
        <v>0</v>
      </c>
      <c r="T21" s="27">
        <v>1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1.7</v>
      </c>
      <c r="AH21" s="27">
        <v>1.6</v>
      </c>
      <c r="AI21" s="27">
        <v>1.29</v>
      </c>
      <c r="AJ21" s="27">
        <v>0.092</v>
      </c>
      <c r="AK21" s="27">
        <v>0.18</v>
      </c>
      <c r="AL21" s="27">
        <v>1</v>
      </c>
      <c r="AM21" s="27">
        <v>1</v>
      </c>
      <c r="AN21" s="27">
        <v>0.2</v>
      </c>
      <c r="AO21" s="27">
        <v>1.5</v>
      </c>
      <c r="AP21" s="27">
        <v>1</v>
      </c>
      <c r="AQ21" s="27">
        <v>1</v>
      </c>
      <c r="AR21" s="27">
        <v>1</v>
      </c>
      <c r="AS21" s="27">
        <v>1</v>
      </c>
      <c r="AT21" s="27">
        <v>1</v>
      </c>
      <c r="AU21" s="27">
        <v>100</v>
      </c>
      <c r="AV21" s="27">
        <v>1</v>
      </c>
      <c r="AW21" s="27">
        <v>1</v>
      </c>
      <c r="AX21" s="27">
        <v>1</v>
      </c>
      <c r="AY21" s="27">
        <v>1</v>
      </c>
      <c r="AZ21" s="27">
        <v>1</v>
      </c>
      <c r="BA21" s="27">
        <v>1</v>
      </c>
      <c r="BB21" s="27">
        <v>1</v>
      </c>
      <c r="BC21" s="27">
        <v>1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2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2" customWidth="1"/>
    <col min="2" max="16384" width="9.140625" style="31" customWidth="1"/>
  </cols>
  <sheetData>
    <row r="1" spans="2:10" s="28" customFormat="1" ht="10.5">
      <c r="B1" s="28" t="s">
        <v>244</v>
      </c>
      <c r="C1" s="28" t="s">
        <v>245</v>
      </c>
      <c r="D1" s="28" t="s">
        <v>246</v>
      </c>
      <c r="E1" s="28" t="s">
        <v>247</v>
      </c>
      <c r="F1" s="28" t="s">
        <v>248</v>
      </c>
      <c r="G1" s="28" t="s">
        <v>249</v>
      </c>
      <c r="H1" s="28" t="s">
        <v>250</v>
      </c>
      <c r="I1" s="28" t="s">
        <v>251</v>
      </c>
      <c r="J1" s="28" t="s">
        <v>252</v>
      </c>
    </row>
    <row r="2" spans="1:10" ht="10.5">
      <c r="A2" s="62"/>
      <c r="B2" s="63"/>
      <c r="C2" s="63"/>
      <c r="D2" s="63"/>
      <c r="E2" s="63"/>
      <c r="F2" s="63"/>
      <c r="G2" s="63"/>
      <c r="H2" s="63"/>
      <c r="I2" s="63"/>
      <c r="J2" s="63"/>
    </row>
    <row r="3" spans="1:10" ht="10.5">
      <c r="A3" s="33"/>
      <c r="B3" s="64" t="s">
        <v>188</v>
      </c>
      <c r="C3" s="64"/>
      <c r="D3" s="64"/>
      <c r="E3" s="64"/>
      <c r="F3" s="64"/>
      <c r="G3" s="64"/>
      <c r="H3" s="64"/>
      <c r="I3" s="64"/>
      <c r="J3" s="64"/>
    </row>
    <row r="4" spans="1:10" ht="10.5">
      <c r="A4" s="33"/>
      <c r="B4" s="64" t="s">
        <v>189</v>
      </c>
      <c r="C4" s="64"/>
      <c r="D4" s="64"/>
      <c r="E4" s="64"/>
      <c r="F4" s="64"/>
      <c r="G4" s="64"/>
      <c r="H4" s="64"/>
      <c r="I4" s="64"/>
      <c r="J4" s="64"/>
    </row>
    <row r="5" spans="1:10" ht="10.5">
      <c r="A5" s="62"/>
      <c r="B5" s="63"/>
      <c r="C5" s="63"/>
      <c r="D5" s="63"/>
      <c r="E5" s="63"/>
      <c r="F5" s="63"/>
      <c r="G5" s="63"/>
      <c r="H5" s="63"/>
      <c r="I5" s="63"/>
      <c r="J5" s="63"/>
    </row>
    <row r="6" spans="1:10" ht="10.5">
      <c r="A6" s="32" t="str">
        <f>'Форма 4'!A15</f>
        <v>1.</v>
      </c>
      <c r="B6" s="31" t="s">
        <v>253</v>
      </c>
      <c r="C6" s="31" t="s">
        <v>253</v>
      </c>
      <c r="D6" s="31" t="s">
        <v>254</v>
      </c>
      <c r="E6" s="31" t="s">
        <v>254</v>
      </c>
      <c r="F6" s="31" t="s">
        <v>255</v>
      </c>
      <c r="G6" s="31" t="s">
        <v>254</v>
      </c>
      <c r="H6" s="31" t="s">
        <v>254</v>
      </c>
      <c r="I6" s="31" t="s">
        <v>256</v>
      </c>
      <c r="J6" s="31" t="s">
        <v>254</v>
      </c>
    </row>
    <row r="7" spans="1:10" ht="10.5">
      <c r="A7" s="32" t="str">
        <f>'Форма 4'!A34</f>
        <v>2.</v>
      </c>
      <c r="B7" s="31" t="s">
        <v>253</v>
      </c>
      <c r="C7" s="31" t="s">
        <v>253</v>
      </c>
      <c r="D7" s="31" t="s">
        <v>254</v>
      </c>
      <c r="E7" s="31" t="s">
        <v>254</v>
      </c>
      <c r="F7" s="31" t="s">
        <v>255</v>
      </c>
      <c r="G7" s="31" t="s">
        <v>257</v>
      </c>
      <c r="H7" s="31" t="s">
        <v>254</v>
      </c>
      <c r="I7" s="31" t="s">
        <v>258</v>
      </c>
      <c r="J7" s="31" t="s">
        <v>254</v>
      </c>
    </row>
    <row r="8" spans="1:10" ht="10.5">
      <c r="A8" s="32" t="str">
        <f>'Форма 4'!A53</f>
        <v>3.</v>
      </c>
      <c r="B8" s="31" t="s">
        <v>253</v>
      </c>
      <c r="C8" s="31" t="s">
        <v>253</v>
      </c>
      <c r="D8" s="31" t="s">
        <v>254</v>
      </c>
      <c r="E8" s="31" t="s">
        <v>254</v>
      </c>
      <c r="F8" s="31" t="s">
        <v>255</v>
      </c>
      <c r="G8" s="31" t="s">
        <v>257</v>
      </c>
      <c r="H8" s="31" t="s">
        <v>254</v>
      </c>
      <c r="I8" s="31" t="s">
        <v>258</v>
      </c>
      <c r="J8" s="31" t="s">
        <v>254</v>
      </c>
    </row>
    <row r="9" spans="1:10" ht="10.5">
      <c r="A9" s="32" t="str">
        <f>'Форма 4'!A72</f>
        <v>4.</v>
      </c>
      <c r="B9" s="31" t="s">
        <v>253</v>
      </c>
      <c r="C9" s="31" t="s">
        <v>253</v>
      </c>
      <c r="D9" s="31" t="s">
        <v>254</v>
      </c>
      <c r="E9" s="31" t="s">
        <v>254</v>
      </c>
      <c r="F9" s="31" t="s">
        <v>255</v>
      </c>
      <c r="G9" s="31" t="s">
        <v>254</v>
      </c>
      <c r="H9" s="31" t="s">
        <v>254</v>
      </c>
      <c r="I9" s="31" t="s">
        <v>256</v>
      </c>
      <c r="J9" s="31" t="s">
        <v>254</v>
      </c>
    </row>
    <row r="10" spans="1:10" ht="10.5">
      <c r="A10" s="32" t="str">
        <f>'Форма 4'!A91</f>
        <v>5.</v>
      </c>
      <c r="B10" s="31" t="s">
        <v>253</v>
      </c>
      <c r="C10" s="31" t="s">
        <v>253</v>
      </c>
      <c r="D10" s="31" t="s">
        <v>254</v>
      </c>
      <c r="E10" s="31" t="s">
        <v>254</v>
      </c>
      <c r="F10" s="31" t="s">
        <v>255</v>
      </c>
      <c r="G10" s="31" t="s">
        <v>253</v>
      </c>
      <c r="H10" s="31" t="s">
        <v>254</v>
      </c>
      <c r="I10" s="31" t="s">
        <v>256</v>
      </c>
      <c r="J10" s="31" t="s">
        <v>254</v>
      </c>
    </row>
    <row r="11" spans="1:10" ht="10.5">
      <c r="A11" s="32" t="str">
        <f>'Форма 4'!A110</f>
        <v>6.</v>
      </c>
      <c r="B11" s="31" t="s">
        <v>253</v>
      </c>
      <c r="C11" s="31" t="s">
        <v>253</v>
      </c>
      <c r="D11" s="31" t="s">
        <v>254</v>
      </c>
      <c r="E11" s="31" t="s">
        <v>254</v>
      </c>
      <c r="F11" s="31" t="s">
        <v>255</v>
      </c>
      <c r="G11" s="31" t="s">
        <v>254</v>
      </c>
      <c r="H11" s="31" t="s">
        <v>254</v>
      </c>
      <c r="I11" s="31" t="s">
        <v>256</v>
      </c>
      <c r="J11" s="31" t="s">
        <v>254</v>
      </c>
    </row>
    <row r="12" spans="1:10" ht="10.5">
      <c r="A12" s="32" t="str">
        <f>'Форма 4'!A129</f>
        <v>7.</v>
      </c>
      <c r="B12" s="31" t="s">
        <v>253</v>
      </c>
      <c r="C12" s="31" t="s">
        <v>253</v>
      </c>
      <c r="D12" s="31" t="s">
        <v>254</v>
      </c>
      <c r="E12" s="31" t="s">
        <v>254</v>
      </c>
      <c r="F12" s="31" t="s">
        <v>255</v>
      </c>
      <c r="G12" s="31" t="s">
        <v>253</v>
      </c>
      <c r="H12" s="31" t="s">
        <v>254</v>
      </c>
      <c r="I12" s="31" t="s">
        <v>256</v>
      </c>
      <c r="J12" s="31" t="s">
        <v>254</v>
      </c>
    </row>
    <row r="13" spans="1:10" ht="10.5">
      <c r="A13" s="32" t="str">
        <f>'Форма 4'!A148</f>
        <v>8.</v>
      </c>
      <c r="B13" s="31" t="s">
        <v>253</v>
      </c>
      <c r="C13" s="31" t="s">
        <v>253</v>
      </c>
      <c r="D13" s="31" t="s">
        <v>254</v>
      </c>
      <c r="E13" s="31" t="s">
        <v>254</v>
      </c>
      <c r="F13" s="31" t="s">
        <v>255</v>
      </c>
      <c r="G13" s="31" t="s">
        <v>254</v>
      </c>
      <c r="H13" s="31" t="s">
        <v>254</v>
      </c>
      <c r="I13" s="31" t="s">
        <v>256</v>
      </c>
      <c r="J13" s="31" t="s">
        <v>254</v>
      </c>
    </row>
    <row r="14" spans="1:10" ht="10.5">
      <c r="A14" s="32" t="str">
        <f>'Форма 4'!A167</f>
        <v>9.</v>
      </c>
      <c r="B14" s="31" t="s">
        <v>253</v>
      </c>
      <c r="C14" s="31" t="s">
        <v>253</v>
      </c>
      <c r="D14" s="31" t="s">
        <v>254</v>
      </c>
      <c r="E14" s="31" t="s">
        <v>254</v>
      </c>
      <c r="F14" s="31" t="s">
        <v>255</v>
      </c>
      <c r="G14" s="31" t="s">
        <v>257</v>
      </c>
      <c r="H14" s="31" t="s">
        <v>254</v>
      </c>
      <c r="I14" s="31" t="s">
        <v>258</v>
      </c>
      <c r="J14" s="31" t="s">
        <v>254</v>
      </c>
    </row>
    <row r="15" spans="1:10" ht="10.5">
      <c r="A15" s="32" t="str">
        <f>'Форма 4'!A188</f>
        <v>10.</v>
      </c>
      <c r="B15" s="31" t="s">
        <v>253</v>
      </c>
      <c r="C15" s="31" t="s">
        <v>253</v>
      </c>
      <c r="D15" s="31" t="s">
        <v>254</v>
      </c>
      <c r="E15" s="31" t="s">
        <v>254</v>
      </c>
      <c r="F15" s="31" t="s">
        <v>253</v>
      </c>
      <c r="G15" s="31" t="s">
        <v>254</v>
      </c>
      <c r="H15" s="31" t="s">
        <v>254</v>
      </c>
      <c r="I15" s="31" t="s">
        <v>257</v>
      </c>
      <c r="J15" s="31" t="s">
        <v>254</v>
      </c>
    </row>
    <row r="16" spans="1:10" ht="10.5">
      <c r="A16" s="32" t="str">
        <f>'Форма 4'!A207</f>
        <v>11.</v>
      </c>
      <c r="B16" s="31" t="s">
        <v>253</v>
      </c>
      <c r="C16" s="31" t="s">
        <v>253</v>
      </c>
      <c r="D16" s="31" t="s">
        <v>254</v>
      </c>
      <c r="E16" s="31" t="s">
        <v>254</v>
      </c>
      <c r="F16" s="31" t="s">
        <v>255</v>
      </c>
      <c r="G16" s="31" t="s">
        <v>253</v>
      </c>
      <c r="H16" s="31" t="s">
        <v>254</v>
      </c>
      <c r="I16" s="31" t="s">
        <v>256</v>
      </c>
      <c r="J16" s="31" t="s">
        <v>254</v>
      </c>
    </row>
    <row r="17" spans="1:10" ht="10.5">
      <c r="A17" s="32" t="str">
        <f>'Форма 4'!A226</f>
        <v>12.</v>
      </c>
      <c r="B17" s="31" t="s">
        <v>253</v>
      </c>
      <c r="C17" s="31" t="s">
        <v>253</v>
      </c>
      <c r="D17" s="31" t="s">
        <v>254</v>
      </c>
      <c r="E17" s="31" t="s">
        <v>254</v>
      </c>
      <c r="F17" s="31" t="s">
        <v>255</v>
      </c>
      <c r="G17" s="31" t="s">
        <v>253</v>
      </c>
      <c r="H17" s="31" t="s">
        <v>254</v>
      </c>
      <c r="I17" s="31" t="s">
        <v>256</v>
      </c>
      <c r="J17" s="31" t="s">
        <v>254</v>
      </c>
    </row>
    <row r="18" spans="1:10" ht="10.5">
      <c r="A18" s="32" t="str">
        <f>'Форма 4'!A245</f>
        <v>13.</v>
      </c>
      <c r="B18" s="31" t="s">
        <v>253</v>
      </c>
      <c r="C18" s="31" t="s">
        <v>253</v>
      </c>
      <c r="D18" s="31" t="s">
        <v>254</v>
      </c>
      <c r="E18" s="31" t="s">
        <v>254</v>
      </c>
      <c r="F18" s="31" t="s">
        <v>255</v>
      </c>
      <c r="G18" s="31" t="s">
        <v>253</v>
      </c>
      <c r="H18" s="31" t="s">
        <v>254</v>
      </c>
      <c r="I18" s="31" t="s">
        <v>256</v>
      </c>
      <c r="J18" s="31" t="s">
        <v>254</v>
      </c>
    </row>
    <row r="19" spans="1:10" ht="10.5">
      <c r="A19" s="32" t="str">
        <f>'Форма 4'!A264</f>
        <v>14.</v>
      </c>
      <c r="B19" s="31" t="s">
        <v>253</v>
      </c>
      <c r="C19" s="31" t="s">
        <v>253</v>
      </c>
      <c r="D19" s="31" t="s">
        <v>254</v>
      </c>
      <c r="E19" s="31" t="s">
        <v>254</v>
      </c>
      <c r="F19" s="31" t="s">
        <v>255</v>
      </c>
      <c r="G19" s="31" t="s">
        <v>254</v>
      </c>
      <c r="H19" s="31" t="s">
        <v>254</v>
      </c>
      <c r="I19" s="31" t="s">
        <v>256</v>
      </c>
      <c r="J19" s="31" t="s">
        <v>254</v>
      </c>
    </row>
    <row r="20" spans="1:10" ht="10.5">
      <c r="A20" s="32" t="str">
        <f>'Форма 4'!A283</f>
        <v>15.</v>
      </c>
      <c r="B20" s="31" t="s">
        <v>253</v>
      </c>
      <c r="C20" s="31" t="s">
        <v>253</v>
      </c>
      <c r="D20" s="31" t="s">
        <v>254</v>
      </c>
      <c r="E20" s="31" t="s">
        <v>254</v>
      </c>
      <c r="F20" s="31" t="s">
        <v>253</v>
      </c>
      <c r="G20" s="31" t="s">
        <v>254</v>
      </c>
      <c r="H20" s="31" t="s">
        <v>254</v>
      </c>
      <c r="I20" s="31" t="s">
        <v>257</v>
      </c>
      <c r="J20" s="31" t="s">
        <v>254</v>
      </c>
    </row>
    <row r="21" spans="1:10" ht="10.5">
      <c r="A21" s="32" t="str">
        <f>'Форма 4'!A302</f>
        <v>16.</v>
      </c>
      <c r="B21" s="31" t="s">
        <v>253</v>
      </c>
      <c r="C21" s="31" t="s">
        <v>253</v>
      </c>
      <c r="D21" s="31" t="s">
        <v>254</v>
      </c>
      <c r="E21" s="31" t="s">
        <v>254</v>
      </c>
      <c r="F21" s="31" t="s">
        <v>255</v>
      </c>
      <c r="G21" s="31" t="s">
        <v>254</v>
      </c>
      <c r="H21" s="31" t="s">
        <v>254</v>
      </c>
      <c r="I21" s="31" t="s">
        <v>256</v>
      </c>
      <c r="J21" s="31" t="s">
        <v>254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N102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7" customWidth="1"/>
    <col min="2" max="2" width="44.421875" style="9" customWidth="1"/>
    <col min="3" max="3" width="3.421875" style="31" customWidth="1"/>
    <col min="4" max="4" width="6.00390625" style="34" customWidth="1"/>
    <col min="5" max="5" width="6.00390625" style="9" customWidth="1"/>
    <col min="6" max="9" width="12.7109375" style="34" customWidth="1"/>
    <col min="10" max="11" width="18.7109375" style="34" customWidth="1"/>
    <col min="12" max="12" width="12.7109375" style="34" customWidth="1"/>
    <col min="13" max="13" width="9.140625" style="34" customWidth="1"/>
    <col min="14" max="14" width="3.421875" style="31" hidden="1" customWidth="1"/>
    <col min="15" max="16384" width="9.140625" style="34" customWidth="1"/>
  </cols>
  <sheetData>
    <row r="2" spans="1:14" ht="10.5">
      <c r="A2" s="59"/>
      <c r="B2" s="65"/>
      <c r="C2" s="65"/>
      <c r="D2" s="66"/>
      <c r="E2" s="65"/>
      <c r="F2" s="66"/>
      <c r="G2" s="66"/>
      <c r="H2" s="66"/>
      <c r="I2" s="66"/>
      <c r="J2" s="66"/>
      <c r="N2" s="34"/>
    </row>
    <row r="3" spans="1:14" ht="10.5">
      <c r="A3" s="29"/>
      <c r="B3" s="61" t="s">
        <v>188</v>
      </c>
      <c r="C3" s="61"/>
      <c r="D3" s="61"/>
      <c r="E3" s="61"/>
      <c r="F3" s="61"/>
      <c r="G3" s="61"/>
      <c r="H3" s="61"/>
      <c r="I3" s="61"/>
      <c r="J3" s="61"/>
      <c r="N3" s="34"/>
    </row>
    <row r="4" spans="1:14" ht="10.5">
      <c r="A4" s="29"/>
      <c r="B4" s="61" t="s">
        <v>189</v>
      </c>
      <c r="C4" s="61"/>
      <c r="D4" s="61"/>
      <c r="E4" s="61"/>
      <c r="F4" s="61"/>
      <c r="G4" s="61"/>
      <c r="H4" s="61"/>
      <c r="I4" s="61"/>
      <c r="J4" s="61"/>
      <c r="N4" s="34"/>
    </row>
    <row r="5" spans="1:14" ht="10.5">
      <c r="A5" s="59"/>
      <c r="B5" s="65"/>
      <c r="C5" s="65"/>
      <c r="D5" s="66"/>
      <c r="E5" s="65"/>
      <c r="F5" s="66"/>
      <c r="G5" s="66"/>
      <c r="H5" s="66"/>
      <c r="I5" s="66"/>
      <c r="J5" s="66"/>
      <c r="N5" s="34"/>
    </row>
    <row r="6" spans="1:13" s="28" customFormat="1" ht="10.5">
      <c r="A6" s="7"/>
      <c r="B6" s="28" t="s">
        <v>259</v>
      </c>
      <c r="C6" s="28" t="s">
        <v>260</v>
      </c>
      <c r="D6" s="35" t="s">
        <v>261</v>
      </c>
      <c r="E6" s="28" t="s">
        <v>262</v>
      </c>
      <c r="F6" s="28" t="s">
        <v>263</v>
      </c>
      <c r="G6" s="28" t="s">
        <v>264</v>
      </c>
      <c r="H6" s="28" t="s">
        <v>265</v>
      </c>
      <c r="I6" s="28" t="s">
        <v>266</v>
      </c>
      <c r="J6" s="28" t="s">
        <v>267</v>
      </c>
      <c r="K6" s="28" t="s">
        <v>268</v>
      </c>
      <c r="L6" s="28" t="s">
        <v>269</v>
      </c>
      <c r="M6" s="28" t="s">
        <v>270</v>
      </c>
    </row>
    <row r="7" spans="1:14" ht="10.5">
      <c r="A7" s="27">
        <v>1</v>
      </c>
      <c r="B7" s="9" t="s">
        <v>86</v>
      </c>
      <c r="C7" s="31" t="s">
        <v>271</v>
      </c>
      <c r="D7" s="34">
        <v>0</v>
      </c>
      <c r="E7" s="34"/>
      <c r="F7" s="26">
        <f>ROUND(SUM('Текущие цены с учетом расхода'!B6:B21),2)</f>
        <v>181104.68</v>
      </c>
      <c r="G7" s="26">
        <f>ROUND(SUM('Текущие цены с учетом расхода'!C6:C21),2)</f>
        <v>31844.61</v>
      </c>
      <c r="H7" s="26">
        <f>ROUND(SUM('Текущие цены с учетом расхода'!D6:D21),2)</f>
        <v>58508.69</v>
      </c>
      <c r="I7" s="26">
        <f>ROUND(SUM('Текущие цены с учетом расхода'!E6:E21),2)</f>
        <v>6976.51</v>
      </c>
      <c r="J7" s="30">
        <f>ROUND(SUM('Текущие цены с учетом расхода'!I6:I21),8)</f>
        <v>122.2704</v>
      </c>
      <c r="K7" s="30">
        <f>ROUND(SUM('Текущие цены с учетом расхода'!K6:K21),8)</f>
        <v>20.932896</v>
      </c>
      <c r="L7" s="26">
        <f>ROUND(SUM('Текущие цены с учетом расхода'!F6:F21),2)</f>
        <v>90751.38</v>
      </c>
      <c r="N7" s="31" t="s">
        <v>253</v>
      </c>
    </row>
    <row r="8" spans="1:14" ht="10.5">
      <c r="A8" s="27">
        <v>2</v>
      </c>
      <c r="B8" s="9" t="s">
        <v>87</v>
      </c>
      <c r="C8" s="31" t="s">
        <v>272</v>
      </c>
      <c r="D8" s="34">
        <v>0</v>
      </c>
      <c r="F8" s="26">
        <f>ROUND(SUMIF(Определители!I6:I21,"= ",'Текущие цены с учетом расхода'!B6:B21),2)</f>
        <v>0</v>
      </c>
      <c r="G8" s="26">
        <f>ROUND(SUMIF(Определители!I6:I21,"= ",'Текущие цены с учетом расхода'!C6:C21),2)</f>
        <v>0</v>
      </c>
      <c r="H8" s="26">
        <f>ROUND(SUMIF(Определители!I6:I21,"= ",'Текущие цены с учетом расхода'!D6:D21),2)</f>
        <v>0</v>
      </c>
      <c r="I8" s="26">
        <f>ROUND(SUMIF(Определители!I6:I21,"= ",'Текущие цены с учетом расхода'!E6:E21),2)</f>
        <v>0</v>
      </c>
      <c r="J8" s="30">
        <f>ROUND(SUMIF(Определители!I6:I21,"= ",'Текущие цены с учетом расхода'!I6:I21),8)</f>
        <v>0</v>
      </c>
      <c r="K8" s="30">
        <f>ROUND(SUMIF(Определители!I6:I21,"= ",'Текущие цены с учетом расхода'!K6:K21),8)</f>
        <v>0</v>
      </c>
      <c r="L8" s="26">
        <f>ROUND(SUMIF(Определители!I6:I21,"= ",'Текущие цены с учетом расхода'!F6:F21),2)</f>
        <v>0</v>
      </c>
      <c r="N8" s="31" t="s">
        <v>256</v>
      </c>
    </row>
    <row r="9" spans="1:14" ht="10.5">
      <c r="A9" s="27">
        <v>3</v>
      </c>
      <c r="B9" s="9" t="s">
        <v>88</v>
      </c>
      <c r="C9" s="31" t="s">
        <v>272</v>
      </c>
      <c r="D9" s="34">
        <v>0</v>
      </c>
      <c r="F9" s="26">
        <f>ROUND(СУММПРОИЗВЕСЛИ(0.01,Определители!I6:I21," ",'Текущие цены с учетом расхода'!B6:B21,Начисления!X6:X21,0),2)</f>
        <v>0</v>
      </c>
      <c r="G9" s="26"/>
      <c r="H9" s="26"/>
      <c r="I9" s="26"/>
      <c r="J9" s="30"/>
      <c r="K9" s="30"/>
      <c r="L9" s="26"/>
      <c r="N9" s="31" t="s">
        <v>257</v>
      </c>
    </row>
    <row r="10" spans="1:14" ht="10.5">
      <c r="A10" s="27">
        <v>4</v>
      </c>
      <c r="B10" s="9" t="s">
        <v>89</v>
      </c>
      <c r="C10" s="31" t="s">
        <v>272</v>
      </c>
      <c r="D10" s="34">
        <v>0</v>
      </c>
      <c r="F10" s="26">
        <f>ROUND(СУММПРОИЗВЕСЛИ(0.01,Определители!I6:I21," ",'Текущие цены с учетом расхода'!B6:B21,Начисления!Y6:Y21,0),2)</f>
        <v>0</v>
      </c>
      <c r="G10" s="26"/>
      <c r="H10" s="26"/>
      <c r="I10" s="26"/>
      <c r="J10" s="30"/>
      <c r="K10" s="30"/>
      <c r="L10" s="26"/>
      <c r="N10" s="31" t="s">
        <v>273</v>
      </c>
    </row>
    <row r="11" spans="1:14" ht="10.5">
      <c r="A11" s="27">
        <v>5</v>
      </c>
      <c r="B11" s="9" t="s">
        <v>90</v>
      </c>
      <c r="C11" s="31" t="s">
        <v>272</v>
      </c>
      <c r="D11" s="34">
        <v>0</v>
      </c>
      <c r="F11" s="26">
        <f>ROUND(ТРАНСПРАСХОД(Определители!B6:B21,Определители!H6:H21,Определители!I6:I21,'Текущие цены с учетом расхода'!B6:B21,Начисления!Z6:Z21,Начисления!AA6:AA21),2)</f>
        <v>0</v>
      </c>
      <c r="G11" s="26"/>
      <c r="H11" s="26"/>
      <c r="I11" s="26"/>
      <c r="J11" s="30"/>
      <c r="K11" s="30"/>
      <c r="L11" s="26"/>
      <c r="N11" s="31" t="s">
        <v>274</v>
      </c>
    </row>
    <row r="12" spans="1:14" ht="10.5">
      <c r="A12" s="27">
        <v>6</v>
      </c>
      <c r="B12" s="9" t="s">
        <v>91</v>
      </c>
      <c r="C12" s="31" t="s">
        <v>272</v>
      </c>
      <c r="D12" s="34">
        <v>0</v>
      </c>
      <c r="F12" s="26">
        <f>ROUND(СУММПРОИЗВЕСЛИ(0.01,Определители!I6:I21," ",'Текущие цены с учетом расхода'!B6:B21,Начисления!AC6:AC21,0),2)</f>
        <v>0</v>
      </c>
      <c r="G12" s="26"/>
      <c r="H12" s="26"/>
      <c r="I12" s="26"/>
      <c r="J12" s="30"/>
      <c r="K12" s="30"/>
      <c r="L12" s="26"/>
      <c r="N12" s="31" t="s">
        <v>275</v>
      </c>
    </row>
    <row r="13" spans="1:14" ht="10.5">
      <c r="A13" s="27">
        <v>7</v>
      </c>
      <c r="B13" s="9" t="s">
        <v>92</v>
      </c>
      <c r="C13" s="31" t="s">
        <v>272</v>
      </c>
      <c r="D13" s="34">
        <v>0</v>
      </c>
      <c r="F13" s="26">
        <f>ROUND(СУММПРОИЗВЕСЛИ(0.01,Определители!I6:I21," ",'Текущие цены с учетом расхода'!B6:B21,Начисления!AF6:AF21,0),2)</f>
        <v>0</v>
      </c>
      <c r="G13" s="26"/>
      <c r="H13" s="26"/>
      <c r="I13" s="26"/>
      <c r="J13" s="30"/>
      <c r="K13" s="30"/>
      <c r="L13" s="26"/>
      <c r="N13" s="31" t="s">
        <v>276</v>
      </c>
    </row>
    <row r="14" spans="1:14" ht="10.5">
      <c r="A14" s="27">
        <v>8</v>
      </c>
      <c r="B14" s="9" t="s">
        <v>93</v>
      </c>
      <c r="C14" s="31" t="s">
        <v>272</v>
      </c>
      <c r="D14" s="34">
        <v>0</v>
      </c>
      <c r="F14" s="26">
        <f>ROUND(ЗАГОТСКЛАДРАСХОД(Определители!B6:B21,Определители!H6:H21,Определители!I6:I21,'Текущие цены с учетом расхода'!B6:B21,Начисления!X6:X21,Начисления!Y6:Y21,Начисления!Z6:Z21,Начисления!AA6:AA21,Начисления!AB6:AB21,Начисления!AC6:AC21,Начисления!AF6:AF21),2)</f>
        <v>0</v>
      </c>
      <c r="G14" s="26"/>
      <c r="H14" s="26"/>
      <c r="I14" s="26"/>
      <c r="J14" s="30"/>
      <c r="K14" s="30"/>
      <c r="L14" s="26"/>
      <c r="N14" s="31" t="s">
        <v>277</v>
      </c>
    </row>
    <row r="15" spans="1:14" ht="10.5">
      <c r="A15" s="27">
        <v>9</v>
      </c>
      <c r="B15" s="9" t="s">
        <v>94</v>
      </c>
      <c r="C15" s="31" t="s">
        <v>272</v>
      </c>
      <c r="D15" s="34">
        <v>0</v>
      </c>
      <c r="F15" s="26">
        <f>ROUND(СУММПРОИЗВЕСЛИ(1,Определители!I6:I21," ",'Текущие цены с учетом расхода'!M6:M21,Начисления!I6:I21,0),2)</f>
        <v>0</v>
      </c>
      <c r="G15" s="26"/>
      <c r="H15" s="26"/>
      <c r="I15" s="26"/>
      <c r="J15" s="30"/>
      <c r="K15" s="30"/>
      <c r="L15" s="26"/>
      <c r="N15" s="31" t="s">
        <v>278</v>
      </c>
    </row>
    <row r="16" spans="1:14" ht="10.5">
      <c r="A16" s="27">
        <v>10</v>
      </c>
      <c r="B16" s="9" t="s">
        <v>95</v>
      </c>
      <c r="C16" s="31" t="s">
        <v>279</v>
      </c>
      <c r="D16" s="34">
        <v>0</v>
      </c>
      <c r="F16" s="26">
        <f>ROUND((F15+F26+F46),2)</f>
        <v>0</v>
      </c>
      <c r="G16" s="26"/>
      <c r="H16" s="26"/>
      <c r="I16" s="26"/>
      <c r="J16" s="30"/>
      <c r="K16" s="30"/>
      <c r="L16" s="26"/>
      <c r="N16" s="31" t="s">
        <v>280</v>
      </c>
    </row>
    <row r="17" spans="1:14" ht="10.5">
      <c r="A17" s="27">
        <v>11</v>
      </c>
      <c r="B17" s="9" t="s">
        <v>96</v>
      </c>
      <c r="C17" s="31" t="s">
        <v>279</v>
      </c>
      <c r="D17" s="34">
        <v>0</v>
      </c>
      <c r="F17" s="26">
        <f>ROUND((F8+F9+F10+F11+F12+F13+F14+F16),2)</f>
        <v>0</v>
      </c>
      <c r="G17" s="26"/>
      <c r="H17" s="26"/>
      <c r="I17" s="26"/>
      <c r="J17" s="30"/>
      <c r="K17" s="30"/>
      <c r="L17" s="26"/>
      <c r="N17" s="31" t="s">
        <v>281</v>
      </c>
    </row>
    <row r="18" spans="1:14" ht="10.5">
      <c r="A18" s="27">
        <v>12</v>
      </c>
      <c r="B18" s="9" t="s">
        <v>97</v>
      </c>
      <c r="C18" s="31" t="s">
        <v>272</v>
      </c>
      <c r="D18" s="34">
        <v>0</v>
      </c>
      <c r="F18" s="26">
        <f>ROUND(SUMIF(Определители!I6:I21,"=1",'Текущие цены с учетом расхода'!B6:B21),2)</f>
        <v>0</v>
      </c>
      <c r="G18" s="26">
        <f>ROUND(SUMIF(Определители!I6:I21,"=1",'Текущие цены с учетом расхода'!C6:C21),2)</f>
        <v>0</v>
      </c>
      <c r="H18" s="26">
        <f>ROUND(SUMIF(Определители!I6:I21,"=1",'Текущие цены с учетом расхода'!D6:D21),2)</f>
        <v>0</v>
      </c>
      <c r="I18" s="26">
        <f>ROUND(SUMIF(Определители!I6:I21,"=1",'Текущие цены с учетом расхода'!E6:E21),2)</f>
        <v>0</v>
      </c>
      <c r="J18" s="30">
        <f>ROUND(SUMIF(Определители!I6:I21,"=1",'Текущие цены с учетом расхода'!I6:I21),8)</f>
        <v>0</v>
      </c>
      <c r="K18" s="30">
        <f>ROUND(SUMIF(Определители!I6:I21,"=1",'Текущие цены с учетом расхода'!K6:K21),8)</f>
        <v>0</v>
      </c>
      <c r="L18" s="26">
        <f>ROUND(SUMIF(Определители!I6:I21,"=1",'Текущие цены с учетом расхода'!F6:F21),2)</f>
        <v>0</v>
      </c>
      <c r="N18" s="31" t="s">
        <v>282</v>
      </c>
    </row>
    <row r="19" spans="1:14" ht="10.5">
      <c r="A19" s="27">
        <v>13</v>
      </c>
      <c r="B19" s="9" t="s">
        <v>98</v>
      </c>
      <c r="C19" s="31" t="s">
        <v>272</v>
      </c>
      <c r="D19" s="34">
        <v>0</v>
      </c>
      <c r="F19" s="26"/>
      <c r="G19" s="26"/>
      <c r="H19" s="26"/>
      <c r="I19" s="26"/>
      <c r="J19" s="30"/>
      <c r="K19" s="30"/>
      <c r="L19" s="26"/>
      <c r="N19" s="31" t="s">
        <v>283</v>
      </c>
    </row>
    <row r="20" spans="1:14" ht="10.5">
      <c r="A20" s="27">
        <v>14</v>
      </c>
      <c r="B20" s="9" t="s">
        <v>99</v>
      </c>
      <c r="C20" s="31" t="s">
        <v>272</v>
      </c>
      <c r="D20" s="34">
        <v>0</v>
      </c>
      <c r="F20" s="26"/>
      <c r="G20" s="26">
        <f>ROUND(SUMIF(Определители!I6:I21,"=1",'Текущие цены с учетом расхода'!T6:T21),2)</f>
        <v>0</v>
      </c>
      <c r="H20" s="26"/>
      <c r="I20" s="26"/>
      <c r="J20" s="30"/>
      <c r="K20" s="30"/>
      <c r="L20" s="26"/>
      <c r="N20" s="31" t="s">
        <v>284</v>
      </c>
    </row>
    <row r="21" spans="1:14" ht="10.5">
      <c r="A21" s="27">
        <v>15</v>
      </c>
      <c r="B21" s="9" t="s">
        <v>100</v>
      </c>
      <c r="C21" s="31" t="s">
        <v>272</v>
      </c>
      <c r="D21" s="34">
        <v>0</v>
      </c>
      <c r="F21" s="26">
        <f>ROUND(SUMIF(Определители!I6:I21,"=1",'Текущие цены с учетом расхода'!U6:U21),2)</f>
        <v>0</v>
      </c>
      <c r="G21" s="26"/>
      <c r="H21" s="26"/>
      <c r="I21" s="26"/>
      <c r="J21" s="30"/>
      <c r="K21" s="30"/>
      <c r="L21" s="26"/>
      <c r="N21" s="31" t="s">
        <v>285</v>
      </c>
    </row>
    <row r="22" spans="1:14" ht="10.5">
      <c r="A22" s="27">
        <v>16</v>
      </c>
      <c r="B22" s="9" t="s">
        <v>101</v>
      </c>
      <c r="C22" s="31" t="s">
        <v>272</v>
      </c>
      <c r="D22" s="34">
        <v>0</v>
      </c>
      <c r="F22" s="26">
        <f>ROUND(СУММЕСЛИ2(Определители!I6:I21,"1",Определители!G6:G21,"1",'Текущие цены с учетом расхода'!B6:B21),2)</f>
        <v>0</v>
      </c>
      <c r="G22" s="26"/>
      <c r="H22" s="26"/>
      <c r="I22" s="26"/>
      <c r="J22" s="30"/>
      <c r="K22" s="30"/>
      <c r="L22" s="26"/>
      <c r="N22" s="31" t="s">
        <v>286</v>
      </c>
    </row>
    <row r="23" spans="1:14" ht="10.5">
      <c r="A23" s="27">
        <v>17</v>
      </c>
      <c r="B23" s="9" t="s">
        <v>102</v>
      </c>
      <c r="C23" s="31" t="s">
        <v>272</v>
      </c>
      <c r="D23" s="34">
        <v>0</v>
      </c>
      <c r="F23" s="26">
        <f>ROUND(SUMIF(Определители!I6:I21,"=1",'Текущие цены с учетом расхода'!H6:H21),2)</f>
        <v>0</v>
      </c>
      <c r="G23" s="26"/>
      <c r="H23" s="26"/>
      <c r="I23" s="26"/>
      <c r="J23" s="30"/>
      <c r="K23" s="30"/>
      <c r="L23" s="26"/>
      <c r="N23" s="31" t="s">
        <v>287</v>
      </c>
    </row>
    <row r="24" spans="1:14" ht="10.5">
      <c r="A24" s="27">
        <v>18</v>
      </c>
      <c r="B24" s="9" t="s">
        <v>103</v>
      </c>
      <c r="C24" s="31" t="s">
        <v>272</v>
      </c>
      <c r="D24" s="34">
        <v>0</v>
      </c>
      <c r="F24" s="26">
        <f>ROUND(SUMIF(Определители!I6:I21,"=1",'Текущие цены с учетом расхода'!N6:N21),2)</f>
        <v>0</v>
      </c>
      <c r="G24" s="26"/>
      <c r="H24" s="26"/>
      <c r="I24" s="26"/>
      <c r="J24" s="30"/>
      <c r="K24" s="30"/>
      <c r="L24" s="26"/>
      <c r="N24" s="31" t="s">
        <v>288</v>
      </c>
    </row>
    <row r="25" spans="1:14" ht="10.5">
      <c r="A25" s="27">
        <v>19</v>
      </c>
      <c r="B25" s="9" t="s">
        <v>104</v>
      </c>
      <c r="C25" s="31" t="s">
        <v>272</v>
      </c>
      <c r="D25" s="34">
        <v>0</v>
      </c>
      <c r="F25" s="26">
        <f>ROUND(SUMIF(Определители!I6:I21,"=1",'Текущие цены с учетом расхода'!O6:O21),2)</f>
        <v>0</v>
      </c>
      <c r="G25" s="26"/>
      <c r="H25" s="26"/>
      <c r="I25" s="26"/>
      <c r="J25" s="30"/>
      <c r="K25" s="30"/>
      <c r="L25" s="26"/>
      <c r="N25" s="31" t="s">
        <v>289</v>
      </c>
    </row>
    <row r="26" spans="1:14" ht="10.5">
      <c r="A26" s="27">
        <v>20</v>
      </c>
      <c r="B26" s="9" t="s">
        <v>95</v>
      </c>
      <c r="C26" s="31" t="s">
        <v>272</v>
      </c>
      <c r="D26" s="34">
        <v>0</v>
      </c>
      <c r="F26" s="26">
        <f>ROUND(СУММПРОИЗВЕСЛИ(1,Определители!I6:I21," ",'Текущие цены с учетом расхода'!M6:M21,Начисления!I6:I21,0),2)</f>
        <v>0</v>
      </c>
      <c r="G26" s="26"/>
      <c r="H26" s="26"/>
      <c r="I26" s="26"/>
      <c r="J26" s="30"/>
      <c r="K26" s="30"/>
      <c r="L26" s="26"/>
      <c r="N26" s="31" t="s">
        <v>290</v>
      </c>
    </row>
    <row r="27" spans="1:14" ht="10.5">
      <c r="A27" s="27">
        <v>21</v>
      </c>
      <c r="B27" s="9" t="s">
        <v>105</v>
      </c>
      <c r="C27" s="31" t="s">
        <v>279</v>
      </c>
      <c r="D27" s="34">
        <v>0</v>
      </c>
      <c r="F27" s="26">
        <f>ROUND((F18+F24+F25),2)</f>
        <v>0</v>
      </c>
      <c r="G27" s="26"/>
      <c r="H27" s="26"/>
      <c r="I27" s="26"/>
      <c r="J27" s="30"/>
      <c r="K27" s="30"/>
      <c r="L27" s="26"/>
      <c r="N27" s="31" t="s">
        <v>291</v>
      </c>
    </row>
    <row r="28" spans="1:14" ht="10.5">
      <c r="A28" s="27">
        <v>22</v>
      </c>
      <c r="B28" s="9" t="s">
        <v>106</v>
      </c>
      <c r="C28" s="31" t="s">
        <v>272</v>
      </c>
      <c r="D28" s="34">
        <v>0</v>
      </c>
      <c r="F28" s="26">
        <f>ROUND(SUMIF(Определители!I6:I21,"=2",'Текущие цены с учетом расхода'!B6:B21),2)</f>
        <v>107899.99</v>
      </c>
      <c r="G28" s="26">
        <f>ROUND(SUMIF(Определители!I6:I21,"=2",'Текущие цены с учетом расхода'!C6:C21),2)</f>
        <v>6301.84</v>
      </c>
      <c r="H28" s="26">
        <f>ROUND(SUMIF(Определители!I6:I21,"=2",'Текущие цены с учетом расхода'!D6:D21),2)</f>
        <v>13216.16</v>
      </c>
      <c r="I28" s="26">
        <f>ROUND(SUMIF(Определители!I6:I21,"=2",'Текущие цены с учетом расхода'!E6:E21),2)</f>
        <v>2081.59</v>
      </c>
      <c r="J28" s="30">
        <f>ROUND(SUMIF(Определители!I6:I21,"=2",'Текущие цены с учетом расхода'!I6:I21),8)</f>
        <v>24.696</v>
      </c>
      <c r="K28" s="30">
        <f>ROUND(SUMIF(Определители!I6:I21,"=2",'Текущие цены с учетом расхода'!K6:K21),8)</f>
        <v>7.791456</v>
      </c>
      <c r="L28" s="26">
        <f>ROUND(SUMIF(Определители!I6:I21,"=2",'Текущие цены с учетом расхода'!F6:F21),2)</f>
        <v>88381.99</v>
      </c>
      <c r="N28" s="31" t="s">
        <v>292</v>
      </c>
    </row>
    <row r="29" spans="1:14" ht="10.5">
      <c r="A29" s="27">
        <v>23</v>
      </c>
      <c r="B29" s="9" t="s">
        <v>98</v>
      </c>
      <c r="C29" s="31" t="s">
        <v>272</v>
      </c>
      <c r="D29" s="34">
        <v>0</v>
      </c>
      <c r="F29" s="26"/>
      <c r="G29" s="26"/>
      <c r="H29" s="26"/>
      <c r="I29" s="26"/>
      <c r="J29" s="30"/>
      <c r="K29" s="30"/>
      <c r="L29" s="26"/>
      <c r="N29" s="31" t="s">
        <v>293</v>
      </c>
    </row>
    <row r="30" spans="1:14" ht="10.5">
      <c r="A30" s="27">
        <v>24</v>
      </c>
      <c r="B30" s="9" t="s">
        <v>107</v>
      </c>
      <c r="C30" s="31" t="s">
        <v>272</v>
      </c>
      <c r="D30" s="34">
        <v>0</v>
      </c>
      <c r="F30" s="26">
        <f>ROUND(СУММЕСЛИ2(Определители!I6:I21,"2",Определители!G6:G21,"1",'Текущие цены с учетом расхода'!B6:B21),2)</f>
        <v>81477.42</v>
      </c>
      <c r="G30" s="26"/>
      <c r="H30" s="26"/>
      <c r="I30" s="26"/>
      <c r="J30" s="30"/>
      <c r="K30" s="30"/>
      <c r="L30" s="26"/>
      <c r="N30" s="31" t="s">
        <v>294</v>
      </c>
    </row>
    <row r="31" spans="1:14" ht="10.5">
      <c r="A31" s="27">
        <v>25</v>
      </c>
      <c r="B31" s="9" t="s">
        <v>102</v>
      </c>
      <c r="C31" s="31" t="s">
        <v>272</v>
      </c>
      <c r="D31" s="34">
        <v>0</v>
      </c>
      <c r="F31" s="26">
        <f>ROUND(SUMIF(Определители!I6:I21,"=2",'Текущие цены с учетом расхода'!H6:H21),2)</f>
        <v>0</v>
      </c>
      <c r="G31" s="26"/>
      <c r="H31" s="26"/>
      <c r="I31" s="26"/>
      <c r="J31" s="30"/>
      <c r="K31" s="30"/>
      <c r="L31" s="26"/>
      <c r="N31" s="31" t="s">
        <v>295</v>
      </c>
    </row>
    <row r="32" spans="1:14" ht="10.5">
      <c r="A32" s="27">
        <v>26</v>
      </c>
      <c r="B32" s="9" t="s">
        <v>103</v>
      </c>
      <c r="C32" s="31" t="s">
        <v>272</v>
      </c>
      <c r="D32" s="34">
        <v>0</v>
      </c>
      <c r="F32" s="26">
        <f>ROUND(SUMIF(Определители!I6:I21,"=2",'Текущие цены с учетом расхода'!N6:N21),2)</f>
        <v>8811.58</v>
      </c>
      <c r="G32" s="26"/>
      <c r="H32" s="26"/>
      <c r="I32" s="26"/>
      <c r="J32" s="30"/>
      <c r="K32" s="30"/>
      <c r="L32" s="26"/>
      <c r="N32" s="31" t="s">
        <v>296</v>
      </c>
    </row>
    <row r="33" spans="1:14" ht="10.5">
      <c r="A33" s="27">
        <v>27</v>
      </c>
      <c r="B33" s="9" t="s">
        <v>104</v>
      </c>
      <c r="C33" s="31" t="s">
        <v>272</v>
      </c>
      <c r="D33" s="34">
        <v>0</v>
      </c>
      <c r="F33" s="26">
        <f>ROUND(SUMIF(Определители!I6:I21,"=2",'Текущие цены с учетом расхода'!O6:O21),2)</f>
        <v>5379.22</v>
      </c>
      <c r="G33" s="26"/>
      <c r="H33" s="26"/>
      <c r="I33" s="26"/>
      <c r="J33" s="30"/>
      <c r="K33" s="30"/>
      <c r="L33" s="26"/>
      <c r="N33" s="31" t="s">
        <v>297</v>
      </c>
    </row>
    <row r="34" spans="1:14" ht="10.5">
      <c r="A34" s="27">
        <v>28</v>
      </c>
      <c r="B34" s="9" t="s">
        <v>110</v>
      </c>
      <c r="C34" s="31" t="s">
        <v>279</v>
      </c>
      <c r="D34" s="34">
        <v>0</v>
      </c>
      <c r="F34" s="26">
        <f>ROUND((F28+F32+F33),2)</f>
        <v>122090.79</v>
      </c>
      <c r="G34" s="26"/>
      <c r="H34" s="26"/>
      <c r="I34" s="26"/>
      <c r="J34" s="30"/>
      <c r="K34" s="30"/>
      <c r="L34" s="26"/>
      <c r="N34" s="31" t="s">
        <v>298</v>
      </c>
    </row>
    <row r="35" spans="1:14" ht="10.5">
      <c r="A35" s="27">
        <v>29</v>
      </c>
      <c r="B35" s="9" t="s">
        <v>111</v>
      </c>
      <c r="C35" s="31" t="s">
        <v>272</v>
      </c>
      <c r="D35" s="34">
        <v>0</v>
      </c>
      <c r="F35" s="26">
        <f>ROUND(SUMIF(Определители!I6:I21,"=3",'Текущие цены с учетом расхода'!B6:B21),2)</f>
        <v>55919.38</v>
      </c>
      <c r="G35" s="26">
        <f>ROUND(SUMIF(Определители!I6:I21,"=3",'Текущие цены с учетом расхода'!C6:C21),2)</f>
        <v>25542.77</v>
      </c>
      <c r="H35" s="26">
        <f>ROUND(SUMIF(Определители!I6:I21,"=3",'Текущие цены с учетом расхода'!D6:D21),2)</f>
        <v>28007.22</v>
      </c>
      <c r="I35" s="26">
        <f>ROUND(SUMIF(Определители!I6:I21,"=3",'Текущие цены с учетом расхода'!E6:E21),2)</f>
        <v>4894.92</v>
      </c>
      <c r="J35" s="30">
        <f>ROUND(SUMIF(Определители!I6:I21,"=3",'Текущие цены с учетом расхода'!I6:I21),8)</f>
        <v>97.5744</v>
      </c>
      <c r="K35" s="30">
        <f>ROUND(SUMIF(Определители!I6:I21,"=3",'Текущие цены с учетом расхода'!K6:K21),8)</f>
        <v>13.14144</v>
      </c>
      <c r="L35" s="26">
        <f>ROUND(SUMIF(Определители!I6:I21,"=3",'Текущие цены с учетом расхода'!F6:F21),2)</f>
        <v>2369.39</v>
      </c>
      <c r="N35" s="31" t="s">
        <v>299</v>
      </c>
    </row>
    <row r="36" spans="1:14" ht="10.5">
      <c r="A36" s="27">
        <v>30</v>
      </c>
      <c r="B36" s="9" t="s">
        <v>102</v>
      </c>
      <c r="C36" s="31" t="s">
        <v>272</v>
      </c>
      <c r="D36" s="34">
        <v>0</v>
      </c>
      <c r="F36" s="26">
        <f>ROUND(SUMIF(Определители!I6:I21,"=3",'Текущие цены с учетом расхода'!H6:H21),2)</f>
        <v>0</v>
      </c>
      <c r="G36" s="26"/>
      <c r="H36" s="26"/>
      <c r="I36" s="26"/>
      <c r="J36" s="30"/>
      <c r="K36" s="30"/>
      <c r="L36" s="26"/>
      <c r="N36" s="31" t="s">
        <v>300</v>
      </c>
    </row>
    <row r="37" spans="1:14" ht="10.5">
      <c r="A37" s="27">
        <v>31</v>
      </c>
      <c r="B37" s="9" t="s">
        <v>103</v>
      </c>
      <c r="C37" s="31" t="s">
        <v>272</v>
      </c>
      <c r="D37" s="34">
        <v>0</v>
      </c>
      <c r="F37" s="26">
        <f>ROUND(SUMIF(Определители!I6:I21,"=3",'Текущие цены с учетом расхода'!N6:N21),2)</f>
        <v>23284.84</v>
      </c>
      <c r="G37" s="26"/>
      <c r="H37" s="26"/>
      <c r="I37" s="26"/>
      <c r="J37" s="30"/>
      <c r="K37" s="30"/>
      <c r="L37" s="26"/>
      <c r="N37" s="31" t="s">
        <v>301</v>
      </c>
    </row>
    <row r="38" spans="1:14" ht="10.5">
      <c r="A38" s="27">
        <v>32</v>
      </c>
      <c r="B38" s="9" t="s">
        <v>104</v>
      </c>
      <c r="C38" s="31" t="s">
        <v>272</v>
      </c>
      <c r="D38" s="34">
        <v>0</v>
      </c>
      <c r="F38" s="26">
        <f>ROUND(SUMIF(Определители!I6:I21,"=3",'Текущие цены с учетом расхода'!O6:O21),2)</f>
        <v>20697.63</v>
      </c>
      <c r="G38" s="26"/>
      <c r="H38" s="26"/>
      <c r="I38" s="26"/>
      <c r="J38" s="30"/>
      <c r="K38" s="30"/>
      <c r="L38" s="26"/>
      <c r="N38" s="31" t="s">
        <v>302</v>
      </c>
    </row>
    <row r="39" spans="1:14" ht="10.5">
      <c r="A39" s="27">
        <v>33</v>
      </c>
      <c r="B39" s="9" t="s">
        <v>114</v>
      </c>
      <c r="C39" s="31" t="s">
        <v>279</v>
      </c>
      <c r="D39" s="34">
        <v>0</v>
      </c>
      <c r="F39" s="26">
        <f>ROUND((F35+F37+F38),2)</f>
        <v>99901.85</v>
      </c>
      <c r="G39" s="26"/>
      <c r="H39" s="26"/>
      <c r="I39" s="26"/>
      <c r="J39" s="30"/>
      <c r="K39" s="30"/>
      <c r="L39" s="26"/>
      <c r="N39" s="31" t="s">
        <v>303</v>
      </c>
    </row>
    <row r="40" spans="1:14" ht="10.5">
      <c r="A40" s="27">
        <v>34</v>
      </c>
      <c r="B40" s="9" t="s">
        <v>115</v>
      </c>
      <c r="C40" s="31" t="s">
        <v>272</v>
      </c>
      <c r="D40" s="34">
        <v>0</v>
      </c>
      <c r="F40" s="26">
        <f>ROUND(SUMIF(Определители!I6:I21,"=4",'Текущие цены с учетом расхода'!B6:B21),2)</f>
        <v>0</v>
      </c>
      <c r="G40" s="26">
        <f>ROUND(SUMIF(Определители!I6:I21,"=4",'Текущие цены с учетом расхода'!C6:C21),2)</f>
        <v>0</v>
      </c>
      <c r="H40" s="26">
        <f>ROUND(SUMIF(Определители!I6:I21,"=4",'Текущие цены с учетом расхода'!D6:D21),2)</f>
        <v>0</v>
      </c>
      <c r="I40" s="26">
        <f>ROUND(SUMIF(Определители!I6:I21,"=4",'Текущие цены с учетом расхода'!E6:E21),2)</f>
        <v>0</v>
      </c>
      <c r="J40" s="30">
        <f>ROUND(SUMIF(Определители!I6:I21,"=4",'Текущие цены с учетом расхода'!I6:I21),8)</f>
        <v>0</v>
      </c>
      <c r="K40" s="30">
        <f>ROUND(SUMIF(Определители!I6:I21,"=4",'Текущие цены с учетом расхода'!K6:K21),8)</f>
        <v>0</v>
      </c>
      <c r="L40" s="26">
        <f>ROUND(SUMIF(Определители!I6:I21,"=4",'Текущие цены с учетом расхода'!F6:F21),2)</f>
        <v>0</v>
      </c>
      <c r="N40" s="31" t="s">
        <v>304</v>
      </c>
    </row>
    <row r="41" spans="1:14" ht="10.5">
      <c r="A41" s="27">
        <v>35</v>
      </c>
      <c r="B41" s="9" t="s">
        <v>98</v>
      </c>
      <c r="C41" s="31" t="s">
        <v>272</v>
      </c>
      <c r="D41" s="34">
        <v>0</v>
      </c>
      <c r="F41" s="26"/>
      <c r="G41" s="26"/>
      <c r="H41" s="26"/>
      <c r="I41" s="26"/>
      <c r="J41" s="30"/>
      <c r="K41" s="30"/>
      <c r="L41" s="26"/>
      <c r="N41" s="31" t="s">
        <v>305</v>
      </c>
    </row>
    <row r="42" spans="1:14" ht="10.5">
      <c r="A42" s="27">
        <v>36</v>
      </c>
      <c r="B42" s="9" t="s">
        <v>116</v>
      </c>
      <c r="C42" s="31" t="s">
        <v>272</v>
      </c>
      <c r="D42" s="34">
        <v>0</v>
      </c>
      <c r="F42" s="26">
        <f>ROUND(SUMIF(Определители!I6:I21,"=4",'Текущие цены с учетом расхода'!AJ6:AJ21),2)</f>
        <v>0</v>
      </c>
      <c r="G42" s="26">
        <f>ROUND(SUMIF(Определители!I6:I21,"=4",'Текущие цены с учетом расхода'!AI6:AI21),2)</f>
        <v>0</v>
      </c>
      <c r="H42" s="26">
        <f>ROUND(SUMIF(Определители!I6:I21,"=4",'Текущие цены с учетом расхода'!AH6:AH21),2)</f>
        <v>0</v>
      </c>
      <c r="I42" s="26">
        <f>ROUND(SUMIF(Определители!I6:I21,"=4",'Текущие цены с учетом расхода'!V6:V21),2)</f>
        <v>0</v>
      </c>
      <c r="J42" s="30"/>
      <c r="K42" s="30"/>
      <c r="L42" s="26"/>
      <c r="N42" s="31" t="s">
        <v>306</v>
      </c>
    </row>
    <row r="43" spans="1:14" ht="10.5">
      <c r="A43" s="27">
        <v>37</v>
      </c>
      <c r="B43" s="9" t="s">
        <v>102</v>
      </c>
      <c r="C43" s="31" t="s">
        <v>272</v>
      </c>
      <c r="D43" s="34">
        <v>0</v>
      </c>
      <c r="F43" s="26">
        <f>ROUND(SUMIF(Определители!I6:I21,"=4",'Текущие цены с учетом расхода'!H6:H21),2)</f>
        <v>0</v>
      </c>
      <c r="G43" s="26"/>
      <c r="H43" s="26"/>
      <c r="I43" s="26"/>
      <c r="J43" s="30"/>
      <c r="K43" s="30"/>
      <c r="L43" s="26"/>
      <c r="N43" s="31" t="s">
        <v>307</v>
      </c>
    </row>
    <row r="44" spans="1:14" ht="10.5">
      <c r="A44" s="27">
        <v>38</v>
      </c>
      <c r="B44" s="9" t="s">
        <v>103</v>
      </c>
      <c r="C44" s="31" t="s">
        <v>272</v>
      </c>
      <c r="D44" s="34">
        <v>0</v>
      </c>
      <c r="F44" s="26">
        <f>ROUND(SUMIF(Определители!I6:I21,"=4",'Текущие цены с учетом расхода'!N6:N21),2)</f>
        <v>0</v>
      </c>
      <c r="G44" s="26"/>
      <c r="H44" s="26"/>
      <c r="I44" s="26"/>
      <c r="J44" s="30"/>
      <c r="K44" s="30"/>
      <c r="L44" s="26"/>
      <c r="N44" s="31" t="s">
        <v>308</v>
      </c>
    </row>
    <row r="45" spans="1:14" ht="10.5">
      <c r="A45" s="27">
        <v>39</v>
      </c>
      <c r="B45" s="9" t="s">
        <v>104</v>
      </c>
      <c r="C45" s="31" t="s">
        <v>272</v>
      </c>
      <c r="D45" s="34">
        <v>0</v>
      </c>
      <c r="F45" s="26">
        <f>ROUND(SUMIF(Определители!I6:I21,"=4",'Текущие цены с учетом расхода'!O6:O21),2)</f>
        <v>0</v>
      </c>
      <c r="G45" s="26"/>
      <c r="H45" s="26"/>
      <c r="I45" s="26"/>
      <c r="J45" s="30"/>
      <c r="K45" s="30"/>
      <c r="L45" s="26"/>
      <c r="N45" s="31" t="s">
        <v>309</v>
      </c>
    </row>
    <row r="46" spans="1:14" ht="10.5">
      <c r="A46" s="27">
        <v>40</v>
      </c>
      <c r="B46" s="9" t="s">
        <v>95</v>
      </c>
      <c r="C46" s="31" t="s">
        <v>272</v>
      </c>
      <c r="D46" s="34">
        <v>0</v>
      </c>
      <c r="F46" s="26">
        <f>ROUND(СУММПРОИЗВЕСЛИ(1,Определители!I6:I21," ",'Текущие цены с учетом расхода'!M6:M21,Начисления!I6:I21,0),2)</f>
        <v>0</v>
      </c>
      <c r="G46" s="26"/>
      <c r="H46" s="26"/>
      <c r="I46" s="26"/>
      <c r="J46" s="30"/>
      <c r="K46" s="30"/>
      <c r="L46" s="26"/>
      <c r="N46" s="31" t="s">
        <v>310</v>
      </c>
    </row>
    <row r="47" spans="1:14" ht="10.5">
      <c r="A47" s="27">
        <v>41</v>
      </c>
      <c r="B47" s="9" t="s">
        <v>117</v>
      </c>
      <c r="C47" s="31" t="s">
        <v>279</v>
      </c>
      <c r="D47" s="34">
        <v>0</v>
      </c>
      <c r="F47" s="26">
        <f>ROUND((F40+F44+F45),2)</f>
        <v>0</v>
      </c>
      <c r="G47" s="26"/>
      <c r="H47" s="26"/>
      <c r="I47" s="26"/>
      <c r="J47" s="30"/>
      <c r="K47" s="30"/>
      <c r="L47" s="26"/>
      <c r="N47" s="31" t="s">
        <v>311</v>
      </c>
    </row>
    <row r="48" spans="1:14" ht="10.5">
      <c r="A48" s="27">
        <v>42</v>
      </c>
      <c r="B48" s="9" t="s">
        <v>118</v>
      </c>
      <c r="C48" s="31" t="s">
        <v>272</v>
      </c>
      <c r="D48" s="34">
        <v>0</v>
      </c>
      <c r="F48" s="26">
        <f>ROUND(SUMIF(Определители!I6:I21,"=5",'Текущие цены с учетом расхода'!B6:B21),2)</f>
        <v>0</v>
      </c>
      <c r="G48" s="26">
        <f>ROUND(SUMIF(Определители!I6:I21,"=5",'Текущие цены с учетом расхода'!C6:C21),2)</f>
        <v>0</v>
      </c>
      <c r="H48" s="26">
        <f>ROUND(SUMIF(Определители!I6:I21,"=5",'Текущие цены с учетом расхода'!D6:D21),2)</f>
        <v>0</v>
      </c>
      <c r="I48" s="26">
        <f>ROUND(SUMIF(Определители!I6:I21,"=5",'Текущие цены с учетом расхода'!E6:E21),2)</f>
        <v>0</v>
      </c>
      <c r="J48" s="30">
        <f>ROUND(SUMIF(Определители!I6:I21,"=5",'Текущие цены с учетом расхода'!I6:I21),8)</f>
        <v>0</v>
      </c>
      <c r="K48" s="30">
        <f>ROUND(SUMIF(Определители!I6:I21,"=5",'Текущие цены с учетом расхода'!K6:K21),8)</f>
        <v>0</v>
      </c>
      <c r="L48" s="26">
        <f>ROUND(SUMIF(Определители!I6:I21,"=5",'Текущие цены с учетом расхода'!F6:F21),2)</f>
        <v>0</v>
      </c>
      <c r="N48" s="31" t="s">
        <v>312</v>
      </c>
    </row>
    <row r="49" spans="1:14" ht="10.5">
      <c r="A49" s="27">
        <v>43</v>
      </c>
      <c r="B49" s="9" t="s">
        <v>102</v>
      </c>
      <c r="C49" s="31" t="s">
        <v>272</v>
      </c>
      <c r="D49" s="34">
        <v>0</v>
      </c>
      <c r="F49" s="26">
        <f>ROUND(SUMIF(Определители!I6:I21,"=5",'Текущие цены с учетом расхода'!H6:H21),2)</f>
        <v>0</v>
      </c>
      <c r="G49" s="26"/>
      <c r="H49" s="26"/>
      <c r="I49" s="26"/>
      <c r="J49" s="30"/>
      <c r="K49" s="30"/>
      <c r="L49" s="26"/>
      <c r="N49" s="31" t="s">
        <v>313</v>
      </c>
    </row>
    <row r="50" spans="1:14" ht="10.5">
      <c r="A50" s="27">
        <v>44</v>
      </c>
      <c r="B50" s="9" t="s">
        <v>103</v>
      </c>
      <c r="C50" s="31" t="s">
        <v>272</v>
      </c>
      <c r="D50" s="34">
        <v>0</v>
      </c>
      <c r="F50" s="26">
        <f>ROUND(SUMIF(Определители!I6:I21,"=5",'Текущие цены с учетом расхода'!N6:N21),2)</f>
        <v>0</v>
      </c>
      <c r="G50" s="26"/>
      <c r="H50" s="26"/>
      <c r="I50" s="26"/>
      <c r="J50" s="30"/>
      <c r="K50" s="30"/>
      <c r="L50" s="26"/>
      <c r="N50" s="31" t="s">
        <v>314</v>
      </c>
    </row>
    <row r="51" spans="1:14" ht="10.5">
      <c r="A51" s="27">
        <v>45</v>
      </c>
      <c r="B51" s="9" t="s">
        <v>104</v>
      </c>
      <c r="C51" s="31" t="s">
        <v>272</v>
      </c>
      <c r="D51" s="34">
        <v>0</v>
      </c>
      <c r="F51" s="26">
        <f>ROUND(SUMIF(Определители!I6:I21,"=5",'Текущие цены с учетом расхода'!O6:O21),2)</f>
        <v>0</v>
      </c>
      <c r="G51" s="26"/>
      <c r="H51" s="26"/>
      <c r="I51" s="26"/>
      <c r="J51" s="30"/>
      <c r="K51" s="30"/>
      <c r="L51" s="26"/>
      <c r="N51" s="31" t="s">
        <v>315</v>
      </c>
    </row>
    <row r="52" spans="1:14" ht="10.5">
      <c r="A52" s="27">
        <v>46</v>
      </c>
      <c r="B52" s="9" t="s">
        <v>119</v>
      </c>
      <c r="C52" s="31" t="s">
        <v>279</v>
      </c>
      <c r="D52" s="34">
        <v>0</v>
      </c>
      <c r="F52" s="26">
        <f>ROUND((F48+F50+F51),2)</f>
        <v>0</v>
      </c>
      <c r="G52" s="26"/>
      <c r="H52" s="26"/>
      <c r="I52" s="26"/>
      <c r="J52" s="30"/>
      <c r="K52" s="30"/>
      <c r="L52" s="26"/>
      <c r="N52" s="31" t="s">
        <v>316</v>
      </c>
    </row>
    <row r="53" spans="1:14" ht="10.5">
      <c r="A53" s="27">
        <v>47</v>
      </c>
      <c r="B53" s="9" t="s">
        <v>120</v>
      </c>
      <c r="C53" s="31" t="s">
        <v>272</v>
      </c>
      <c r="D53" s="34">
        <v>0</v>
      </c>
      <c r="F53" s="26">
        <f>ROUND(SUMIF(Определители!I6:I21,"=6",'Текущие цены с учетом расхода'!B6:B21),2)</f>
        <v>0</v>
      </c>
      <c r="G53" s="26">
        <f>ROUND(SUMIF(Определители!I6:I21,"=6",'Текущие цены с учетом расхода'!C6:C21),2)</f>
        <v>0</v>
      </c>
      <c r="H53" s="26">
        <f>ROUND(SUMIF(Определители!I6:I21,"=6",'Текущие цены с учетом расхода'!D6:D21),2)</f>
        <v>0</v>
      </c>
      <c r="I53" s="26">
        <f>ROUND(SUMIF(Определители!I6:I21,"=6",'Текущие цены с учетом расхода'!E6:E21),2)</f>
        <v>0</v>
      </c>
      <c r="J53" s="30">
        <f>ROUND(SUMIF(Определители!I6:I21,"=6",'Текущие цены с учетом расхода'!I6:I21),8)</f>
        <v>0</v>
      </c>
      <c r="K53" s="30">
        <f>ROUND(SUMIF(Определители!I6:I21,"=6",'Текущие цены с учетом расхода'!K6:K21),8)</f>
        <v>0</v>
      </c>
      <c r="L53" s="26">
        <f>ROUND(SUMIF(Определители!I6:I21,"=6",'Текущие цены с учетом расхода'!F6:F21),2)</f>
        <v>0</v>
      </c>
      <c r="N53" s="31" t="s">
        <v>317</v>
      </c>
    </row>
    <row r="54" spans="1:14" ht="10.5">
      <c r="A54" s="27">
        <v>48</v>
      </c>
      <c r="B54" s="9" t="s">
        <v>102</v>
      </c>
      <c r="C54" s="31" t="s">
        <v>272</v>
      </c>
      <c r="D54" s="34">
        <v>0</v>
      </c>
      <c r="F54" s="26">
        <f>ROUND(SUMIF(Определители!I6:I21,"=6",'Текущие цены с учетом расхода'!H6:H21),2)</f>
        <v>0</v>
      </c>
      <c r="G54" s="26"/>
      <c r="H54" s="26"/>
      <c r="I54" s="26"/>
      <c r="J54" s="30"/>
      <c r="K54" s="30"/>
      <c r="L54" s="26"/>
      <c r="N54" s="31" t="s">
        <v>318</v>
      </c>
    </row>
    <row r="55" spans="1:14" ht="10.5">
      <c r="A55" s="27">
        <v>49</v>
      </c>
      <c r="B55" s="9" t="s">
        <v>103</v>
      </c>
      <c r="C55" s="31" t="s">
        <v>272</v>
      </c>
      <c r="D55" s="34">
        <v>0</v>
      </c>
      <c r="F55" s="26">
        <f>ROUND(SUMIF(Определители!I6:I21,"=6",'Текущие цены с учетом расхода'!N6:N21),2)</f>
        <v>0</v>
      </c>
      <c r="G55" s="26"/>
      <c r="H55" s="26"/>
      <c r="I55" s="26"/>
      <c r="J55" s="30"/>
      <c r="K55" s="30"/>
      <c r="L55" s="26"/>
      <c r="N55" s="31" t="s">
        <v>319</v>
      </c>
    </row>
    <row r="56" spans="1:14" ht="10.5">
      <c r="A56" s="27">
        <v>50</v>
      </c>
      <c r="B56" s="9" t="s">
        <v>104</v>
      </c>
      <c r="C56" s="31" t="s">
        <v>272</v>
      </c>
      <c r="D56" s="34">
        <v>0</v>
      </c>
      <c r="F56" s="26">
        <f>ROUND(SUMIF(Определители!I6:I21,"=6",'Текущие цены с учетом расхода'!O6:O21),2)</f>
        <v>0</v>
      </c>
      <c r="G56" s="26"/>
      <c r="H56" s="26"/>
      <c r="I56" s="26"/>
      <c r="J56" s="30"/>
      <c r="K56" s="30"/>
      <c r="L56" s="26"/>
      <c r="N56" s="31" t="s">
        <v>320</v>
      </c>
    </row>
    <row r="57" spans="1:14" ht="10.5">
      <c r="A57" s="27">
        <v>51</v>
      </c>
      <c r="B57" s="9" t="s">
        <v>121</v>
      </c>
      <c r="C57" s="31" t="s">
        <v>279</v>
      </c>
      <c r="D57" s="34">
        <v>0</v>
      </c>
      <c r="F57" s="26">
        <f>ROUND((F53+F55+F56),2)</f>
        <v>0</v>
      </c>
      <c r="G57" s="26"/>
      <c r="H57" s="26"/>
      <c r="I57" s="26"/>
      <c r="J57" s="30"/>
      <c r="K57" s="30"/>
      <c r="L57" s="26"/>
      <c r="N57" s="31" t="s">
        <v>321</v>
      </c>
    </row>
    <row r="58" spans="1:14" ht="10.5">
      <c r="A58" s="27">
        <v>52</v>
      </c>
      <c r="B58" s="9" t="s">
        <v>122</v>
      </c>
      <c r="C58" s="31" t="s">
        <v>272</v>
      </c>
      <c r="D58" s="34">
        <v>0</v>
      </c>
      <c r="F58" s="26">
        <f>ROUND(SUMIF(Определители!I6:I21,"=7",'Текущие цены с учетом расхода'!B6:B21),2)</f>
        <v>0</v>
      </c>
      <c r="G58" s="26">
        <f>ROUND(SUMIF(Определители!I6:I21,"=7",'Текущие цены с учетом расхода'!C6:C21),2)</f>
        <v>0</v>
      </c>
      <c r="H58" s="26">
        <f>ROUND(SUMIF(Определители!I6:I21,"=7",'Текущие цены с учетом расхода'!D6:D21),2)</f>
        <v>0</v>
      </c>
      <c r="I58" s="26">
        <f>ROUND(SUMIF(Определители!I6:I21,"=7",'Текущие цены с учетом расхода'!E6:E21),2)</f>
        <v>0</v>
      </c>
      <c r="J58" s="30">
        <f>ROUND(SUMIF(Определители!I6:I21,"=7",'Текущие цены с учетом расхода'!I6:I21),8)</f>
        <v>0</v>
      </c>
      <c r="K58" s="30">
        <f>ROUND(SUMIF(Определители!I6:I21,"=7",'Текущие цены с учетом расхода'!K6:K21),8)</f>
        <v>0</v>
      </c>
      <c r="L58" s="26">
        <f>ROUND(SUMIF(Определители!I6:I21,"=7",'Текущие цены с учетом расхода'!F6:F21),2)</f>
        <v>0</v>
      </c>
      <c r="N58" s="31" t="s">
        <v>322</v>
      </c>
    </row>
    <row r="59" spans="1:14" ht="10.5">
      <c r="A59" s="27">
        <v>53</v>
      </c>
      <c r="B59" s="9" t="s">
        <v>98</v>
      </c>
      <c r="C59" s="31" t="s">
        <v>272</v>
      </c>
      <c r="D59" s="34">
        <v>0</v>
      </c>
      <c r="F59" s="26"/>
      <c r="G59" s="26"/>
      <c r="H59" s="26"/>
      <c r="I59" s="26"/>
      <c r="J59" s="30"/>
      <c r="K59" s="30"/>
      <c r="L59" s="26"/>
      <c r="N59" s="31" t="s">
        <v>323</v>
      </c>
    </row>
    <row r="60" spans="1:14" ht="10.5">
      <c r="A60" s="27">
        <v>54</v>
      </c>
      <c r="B60" s="9" t="s">
        <v>123</v>
      </c>
      <c r="C60" s="31" t="s">
        <v>272</v>
      </c>
      <c r="D60" s="34">
        <v>0</v>
      </c>
      <c r="F60" s="26">
        <f>ROUND(СУММЕСЛИ2(Определители!I6:I21,"2",Определители!G6:G21,"1",'Текущие цены с учетом расхода'!B6:B21),2)</f>
        <v>81477.42</v>
      </c>
      <c r="G60" s="26"/>
      <c r="H60" s="26"/>
      <c r="I60" s="26"/>
      <c r="J60" s="30"/>
      <c r="K60" s="30"/>
      <c r="L60" s="26"/>
      <c r="N60" s="31" t="s">
        <v>324</v>
      </c>
    </row>
    <row r="61" spans="1:14" ht="10.5">
      <c r="A61" s="27">
        <v>55</v>
      </c>
      <c r="B61" s="9" t="s">
        <v>102</v>
      </c>
      <c r="C61" s="31" t="s">
        <v>272</v>
      </c>
      <c r="D61" s="34">
        <v>0</v>
      </c>
      <c r="F61" s="26">
        <f>ROUND(SUMIF(Определители!I6:I21,"=7",'Текущие цены с учетом расхода'!H6:H21),2)</f>
        <v>0</v>
      </c>
      <c r="G61" s="26"/>
      <c r="H61" s="26"/>
      <c r="I61" s="26"/>
      <c r="J61" s="30"/>
      <c r="K61" s="30"/>
      <c r="L61" s="26"/>
      <c r="N61" s="31" t="s">
        <v>325</v>
      </c>
    </row>
    <row r="62" spans="1:14" ht="10.5">
      <c r="A62" s="27">
        <v>56</v>
      </c>
      <c r="B62" s="9" t="s">
        <v>103</v>
      </c>
      <c r="C62" s="31" t="s">
        <v>272</v>
      </c>
      <c r="D62" s="34">
        <v>0</v>
      </c>
      <c r="F62" s="26">
        <f>ROUND(SUMIF(Определители!I6:I21,"=7",'Текущие цены с учетом расхода'!N6:N21),2)</f>
        <v>0</v>
      </c>
      <c r="G62" s="26"/>
      <c r="H62" s="26"/>
      <c r="I62" s="26"/>
      <c r="J62" s="30"/>
      <c r="K62" s="30"/>
      <c r="L62" s="26"/>
      <c r="N62" s="31" t="s">
        <v>326</v>
      </c>
    </row>
    <row r="63" spans="1:14" ht="10.5">
      <c r="A63" s="27">
        <v>57</v>
      </c>
      <c r="B63" s="9" t="s">
        <v>104</v>
      </c>
      <c r="C63" s="31" t="s">
        <v>272</v>
      </c>
      <c r="D63" s="34">
        <v>0</v>
      </c>
      <c r="F63" s="26">
        <f>ROUND(SUMIF(Определители!I6:I21,"=7",'Текущие цены с учетом расхода'!O6:O21),2)</f>
        <v>0</v>
      </c>
      <c r="G63" s="26"/>
      <c r="H63" s="26"/>
      <c r="I63" s="26"/>
      <c r="J63" s="30"/>
      <c r="K63" s="30"/>
      <c r="L63" s="26"/>
      <c r="N63" s="31" t="s">
        <v>327</v>
      </c>
    </row>
    <row r="64" spans="1:14" ht="10.5">
      <c r="A64" s="27">
        <v>58</v>
      </c>
      <c r="B64" s="9" t="s">
        <v>124</v>
      </c>
      <c r="C64" s="31" t="s">
        <v>279</v>
      </c>
      <c r="D64" s="34">
        <v>0</v>
      </c>
      <c r="F64" s="26">
        <f>ROUND((F58+F62+F63),2)</f>
        <v>0</v>
      </c>
      <c r="G64" s="26"/>
      <c r="H64" s="26"/>
      <c r="I64" s="26"/>
      <c r="J64" s="30"/>
      <c r="K64" s="30"/>
      <c r="L64" s="26"/>
      <c r="N64" s="31" t="s">
        <v>328</v>
      </c>
    </row>
    <row r="65" spans="1:14" ht="10.5">
      <c r="A65" s="27">
        <v>59</v>
      </c>
      <c r="B65" s="9" t="s">
        <v>125</v>
      </c>
      <c r="C65" s="31" t="s">
        <v>272</v>
      </c>
      <c r="D65" s="34">
        <v>0</v>
      </c>
      <c r="F65" s="26">
        <f>ROUND(SUMIF(Определители!I6:I21,"=;",'Текущие цены с учетом расхода'!B6:B21),2)</f>
        <v>17285.31</v>
      </c>
      <c r="G65" s="26">
        <f>ROUND(SUMIF(Определители!I6:I21,"=;",'Текущие цены с учетом расхода'!C6:C21),2)</f>
        <v>0</v>
      </c>
      <c r="H65" s="26">
        <f>ROUND(SUMIF(Определители!I6:I21,"=;",'Текущие цены с учетом расхода'!D6:D21),2)</f>
        <v>17285.31</v>
      </c>
      <c r="I65" s="26">
        <f>ROUND(SUMIF(Определители!I6:I21,"=;",'Текущие цены с учетом расхода'!E6:E21),2)</f>
        <v>0</v>
      </c>
      <c r="J65" s="30">
        <f>ROUND(SUMIF(Определители!I6:I21,"=;",'Текущие цены с учетом расхода'!I6:I21),8)</f>
        <v>0</v>
      </c>
      <c r="K65" s="30">
        <f>ROUND(SUMIF(Определители!I6:I21,"=;",'Текущие цены с учетом расхода'!K6:K21),8)</f>
        <v>0</v>
      </c>
      <c r="L65" s="26">
        <f>ROUND(SUMIF(Определители!I6:I21,"=;",'Текущие цены с учетом расхода'!F6:F21),2)</f>
        <v>0</v>
      </c>
      <c r="N65" s="31" t="s">
        <v>329</v>
      </c>
    </row>
    <row r="66" spans="1:14" ht="10.5">
      <c r="A66" s="27">
        <v>60</v>
      </c>
      <c r="B66" s="9" t="s">
        <v>126</v>
      </c>
      <c r="C66" s="31" t="s">
        <v>272</v>
      </c>
      <c r="D66" s="34">
        <v>0</v>
      </c>
      <c r="F66" s="26">
        <f>ROUND(SUMIF(Определители!I6:I21,"=;",'Текущие цены с учетом расхода'!AF6:AF21),2)</f>
        <v>0</v>
      </c>
      <c r="G66" s="26"/>
      <c r="H66" s="26"/>
      <c r="I66" s="26"/>
      <c r="J66" s="30"/>
      <c r="K66" s="30"/>
      <c r="L66" s="26"/>
      <c r="N66" s="31" t="s">
        <v>330</v>
      </c>
    </row>
    <row r="67" spans="1:14" ht="10.5">
      <c r="A67" s="27">
        <v>61</v>
      </c>
      <c r="B67" s="9" t="s">
        <v>127</v>
      </c>
      <c r="C67" s="31" t="s">
        <v>272</v>
      </c>
      <c r="D67" s="34">
        <v>0</v>
      </c>
      <c r="F67" s="26">
        <f>ROUND(SUMIF(Определители!I6:I21,"=;",'Текущие цены с учетом расхода'!AG6:AG21),2)</f>
        <v>0</v>
      </c>
      <c r="G67" s="26"/>
      <c r="H67" s="26"/>
      <c r="I67" s="26"/>
      <c r="J67" s="30"/>
      <c r="K67" s="30"/>
      <c r="L67" s="26"/>
      <c r="N67" s="31" t="s">
        <v>331</v>
      </c>
    </row>
    <row r="68" spans="1:14" ht="10.5">
      <c r="A68" s="27">
        <v>62</v>
      </c>
      <c r="B68" s="9" t="s">
        <v>103</v>
      </c>
      <c r="C68" s="31" t="s">
        <v>272</v>
      </c>
      <c r="D68" s="34">
        <v>0</v>
      </c>
      <c r="F68" s="26">
        <f>ROUND(SUMIF(Определители!I6:I21,"=;",'Текущие цены с учетом расхода'!N6:N21),2)</f>
        <v>0</v>
      </c>
      <c r="G68" s="26"/>
      <c r="H68" s="26"/>
      <c r="I68" s="26"/>
      <c r="J68" s="30"/>
      <c r="K68" s="30"/>
      <c r="L68" s="26"/>
      <c r="N68" s="31" t="s">
        <v>332</v>
      </c>
    </row>
    <row r="69" spans="1:14" ht="10.5">
      <c r="A69" s="27">
        <v>63</v>
      </c>
      <c r="B69" s="9" t="s">
        <v>104</v>
      </c>
      <c r="C69" s="31" t="s">
        <v>272</v>
      </c>
      <c r="D69" s="34">
        <v>0</v>
      </c>
      <c r="F69" s="26">
        <f>ROUND(SUMIF(Определители!I6:I21,"=;",'Текущие цены с учетом расхода'!O6:O21),2)</f>
        <v>0</v>
      </c>
      <c r="G69" s="26"/>
      <c r="H69" s="26"/>
      <c r="I69" s="26"/>
      <c r="J69" s="30"/>
      <c r="K69" s="30"/>
      <c r="L69" s="26"/>
      <c r="N69" s="31" t="s">
        <v>333</v>
      </c>
    </row>
    <row r="70" spans="1:14" ht="10.5">
      <c r="A70" s="27">
        <v>64</v>
      </c>
      <c r="B70" s="9" t="s">
        <v>128</v>
      </c>
      <c r="C70" s="31" t="s">
        <v>279</v>
      </c>
      <c r="D70" s="34">
        <v>0</v>
      </c>
      <c r="F70" s="26">
        <f>ROUND((F65+F68+F69),2)</f>
        <v>17285.31</v>
      </c>
      <c r="G70" s="26"/>
      <c r="H70" s="26"/>
      <c r="I70" s="26"/>
      <c r="J70" s="30"/>
      <c r="K70" s="30"/>
      <c r="L70" s="26"/>
      <c r="N70" s="31" t="s">
        <v>334</v>
      </c>
    </row>
    <row r="71" spans="1:14" ht="10.5">
      <c r="A71" s="27">
        <v>65</v>
      </c>
      <c r="B71" s="9" t="s">
        <v>129</v>
      </c>
      <c r="C71" s="31" t="s">
        <v>272</v>
      </c>
      <c r="D71" s="34">
        <v>0</v>
      </c>
      <c r="F71" s="26">
        <f>ROUND(SUMIF(Определители!I6:I21,"=9",'Текущие цены с учетом расхода'!B6:B21),2)</f>
        <v>0</v>
      </c>
      <c r="G71" s="26">
        <f>ROUND(SUMIF(Определители!I6:I21,"=9",'Текущие цены с учетом расхода'!C6:C21),2)</f>
        <v>0</v>
      </c>
      <c r="H71" s="26">
        <f>ROUND(SUMIF(Определители!I6:I21,"=9",'Текущие цены с учетом расхода'!D6:D21),2)</f>
        <v>0</v>
      </c>
      <c r="I71" s="26">
        <f>ROUND(SUMIF(Определители!I6:I21,"=9",'Текущие цены с учетом расхода'!E6:E21),2)</f>
        <v>0</v>
      </c>
      <c r="J71" s="30">
        <f>ROUND(SUMIF(Определители!I6:I21,"=9",'Текущие цены с учетом расхода'!I6:I21),8)</f>
        <v>0</v>
      </c>
      <c r="K71" s="30">
        <f>ROUND(SUMIF(Определители!I6:I21,"=9",'Текущие цены с учетом расхода'!K6:K21),8)</f>
        <v>0</v>
      </c>
      <c r="L71" s="26">
        <f>ROUND(SUMIF(Определители!I6:I21,"=9",'Текущие цены с учетом расхода'!F6:F21),2)</f>
        <v>0</v>
      </c>
      <c r="N71" s="31" t="s">
        <v>335</v>
      </c>
    </row>
    <row r="72" spans="1:14" ht="10.5">
      <c r="A72" s="27">
        <v>66</v>
      </c>
      <c r="B72" s="9" t="s">
        <v>103</v>
      </c>
      <c r="C72" s="31" t="s">
        <v>272</v>
      </c>
      <c r="D72" s="34">
        <v>0</v>
      </c>
      <c r="F72" s="26">
        <f>ROUND(SUMIF(Определители!I6:I21,"=9",'Текущие цены с учетом расхода'!N6:N21),2)</f>
        <v>0</v>
      </c>
      <c r="G72" s="26"/>
      <c r="H72" s="26"/>
      <c r="I72" s="26"/>
      <c r="J72" s="30"/>
      <c r="K72" s="30"/>
      <c r="L72" s="26"/>
      <c r="N72" s="31" t="s">
        <v>336</v>
      </c>
    </row>
    <row r="73" spans="1:14" ht="10.5">
      <c r="A73" s="27">
        <v>67</v>
      </c>
      <c r="B73" s="9" t="s">
        <v>104</v>
      </c>
      <c r="C73" s="31" t="s">
        <v>272</v>
      </c>
      <c r="D73" s="34">
        <v>0</v>
      </c>
      <c r="F73" s="26">
        <f>ROUND(SUMIF(Определители!I6:I21,"=9",'Текущие цены с учетом расхода'!O6:O21),2)</f>
        <v>0</v>
      </c>
      <c r="G73" s="26"/>
      <c r="H73" s="26"/>
      <c r="I73" s="26"/>
      <c r="J73" s="30"/>
      <c r="K73" s="30"/>
      <c r="L73" s="26"/>
      <c r="N73" s="31" t="s">
        <v>337</v>
      </c>
    </row>
    <row r="74" spans="1:14" ht="10.5">
      <c r="A74" s="27">
        <v>68</v>
      </c>
      <c r="B74" s="9" t="s">
        <v>130</v>
      </c>
      <c r="C74" s="31" t="s">
        <v>279</v>
      </c>
      <c r="D74" s="34">
        <v>0</v>
      </c>
      <c r="F74" s="26">
        <f>ROUND((F71+F72+F73),2)</f>
        <v>0</v>
      </c>
      <c r="G74" s="26"/>
      <c r="H74" s="26"/>
      <c r="I74" s="26"/>
      <c r="J74" s="30"/>
      <c r="K74" s="30"/>
      <c r="L74" s="26"/>
      <c r="N74" s="31" t="s">
        <v>338</v>
      </c>
    </row>
    <row r="75" spans="1:14" ht="10.5">
      <c r="A75" s="27">
        <v>69</v>
      </c>
      <c r="B75" s="9" t="s">
        <v>131</v>
      </c>
      <c r="C75" s="31" t="s">
        <v>272</v>
      </c>
      <c r="D75" s="34">
        <v>0</v>
      </c>
      <c r="F75" s="26">
        <f>ROUND(SUMIF(Определители!I6:I21,"=:",'Текущие цены с учетом расхода'!B6:B21),2)</f>
        <v>0</v>
      </c>
      <c r="G75" s="26">
        <f>ROUND(SUMIF(Определители!I6:I21,"=:",'Текущие цены с учетом расхода'!C6:C21),2)</f>
        <v>0</v>
      </c>
      <c r="H75" s="26">
        <f>ROUND(SUMIF(Определители!I6:I21,"=:",'Текущие цены с учетом расхода'!D6:D21),2)</f>
        <v>0</v>
      </c>
      <c r="I75" s="26">
        <f>ROUND(SUMIF(Определители!I6:I21,"=:",'Текущие цены с учетом расхода'!E6:E21),2)</f>
        <v>0</v>
      </c>
      <c r="J75" s="30">
        <f>ROUND(SUMIF(Определители!I6:I21,"=:",'Текущие цены с учетом расхода'!I6:I21),8)</f>
        <v>0</v>
      </c>
      <c r="K75" s="30">
        <f>ROUND(SUMIF(Определители!I6:I21,"=:",'Текущие цены с учетом расхода'!K6:K21),8)</f>
        <v>0</v>
      </c>
      <c r="L75" s="26">
        <f>ROUND(SUMIF(Определители!I6:I21,"=:",'Текущие цены с учетом расхода'!F6:F21),2)</f>
        <v>0</v>
      </c>
      <c r="N75" s="31" t="s">
        <v>339</v>
      </c>
    </row>
    <row r="76" spans="1:14" ht="10.5">
      <c r="A76" s="27">
        <v>70</v>
      </c>
      <c r="B76" s="9" t="s">
        <v>102</v>
      </c>
      <c r="C76" s="31" t="s">
        <v>272</v>
      </c>
      <c r="D76" s="34">
        <v>0</v>
      </c>
      <c r="F76" s="26">
        <f>ROUND(SUMIF(Определители!I6:I21,"=:",'Текущие цены с учетом расхода'!H6:H21),2)</f>
        <v>0</v>
      </c>
      <c r="G76" s="26"/>
      <c r="H76" s="26"/>
      <c r="I76" s="26"/>
      <c r="J76" s="30"/>
      <c r="K76" s="30"/>
      <c r="L76" s="26"/>
      <c r="N76" s="31" t="s">
        <v>340</v>
      </c>
    </row>
    <row r="77" spans="1:14" ht="10.5">
      <c r="A77" s="27">
        <v>71</v>
      </c>
      <c r="B77" s="9" t="s">
        <v>103</v>
      </c>
      <c r="C77" s="31" t="s">
        <v>272</v>
      </c>
      <c r="D77" s="34">
        <v>0</v>
      </c>
      <c r="F77" s="26">
        <f>ROUND(SUMIF(Определители!I6:I21,"=:",'Текущие цены с учетом расхода'!N6:N21),2)</f>
        <v>0</v>
      </c>
      <c r="G77" s="26"/>
      <c r="H77" s="26"/>
      <c r="I77" s="26"/>
      <c r="J77" s="30"/>
      <c r="K77" s="30"/>
      <c r="L77" s="26"/>
      <c r="N77" s="31" t="s">
        <v>341</v>
      </c>
    </row>
    <row r="78" spans="1:14" ht="10.5">
      <c r="A78" s="27">
        <v>72</v>
      </c>
      <c r="B78" s="9" t="s">
        <v>104</v>
      </c>
      <c r="C78" s="31" t="s">
        <v>272</v>
      </c>
      <c r="D78" s="34">
        <v>0</v>
      </c>
      <c r="F78" s="26">
        <f>ROUND(SUMIF(Определители!I6:I21,"=:",'Текущие цены с учетом расхода'!O6:O21),2)</f>
        <v>0</v>
      </c>
      <c r="G78" s="26"/>
      <c r="H78" s="26"/>
      <c r="I78" s="26"/>
      <c r="J78" s="30"/>
      <c r="K78" s="30"/>
      <c r="L78" s="26"/>
      <c r="N78" s="31" t="s">
        <v>342</v>
      </c>
    </row>
    <row r="79" spans="1:14" ht="10.5">
      <c r="A79" s="27">
        <v>73</v>
      </c>
      <c r="B79" s="9" t="s">
        <v>132</v>
      </c>
      <c r="C79" s="31" t="s">
        <v>279</v>
      </c>
      <c r="D79" s="34">
        <v>0</v>
      </c>
      <c r="F79" s="26">
        <f>ROUND((F75+F77+F78),2)</f>
        <v>0</v>
      </c>
      <c r="G79" s="26"/>
      <c r="H79" s="26"/>
      <c r="I79" s="26"/>
      <c r="J79" s="30"/>
      <c r="K79" s="30"/>
      <c r="L79" s="26"/>
      <c r="N79" s="31" t="s">
        <v>343</v>
      </c>
    </row>
    <row r="80" spans="1:14" ht="10.5">
      <c r="A80" s="27">
        <v>74</v>
      </c>
      <c r="B80" s="9" t="s">
        <v>133</v>
      </c>
      <c r="C80" s="31" t="s">
        <v>272</v>
      </c>
      <c r="D80" s="34">
        <v>0</v>
      </c>
      <c r="F80" s="26">
        <f>ROUND(SUMIF(Определители!I6:I21,"=8",'Текущие цены с учетом расхода'!B6:B21),2)</f>
        <v>0</v>
      </c>
      <c r="G80" s="26">
        <f>ROUND(SUMIF(Определители!I6:I21,"=8",'Текущие цены с учетом расхода'!C6:C21),2)</f>
        <v>0</v>
      </c>
      <c r="H80" s="26">
        <f>ROUND(SUMIF(Определители!I6:I21,"=8",'Текущие цены с учетом расхода'!D6:D21),2)</f>
        <v>0</v>
      </c>
      <c r="I80" s="26">
        <f>ROUND(SUMIF(Определители!I6:I21,"=8",'Текущие цены с учетом расхода'!E6:E21),2)</f>
        <v>0</v>
      </c>
      <c r="J80" s="30">
        <f>ROUND(SUMIF(Определители!I6:I21,"=8",'Текущие цены с учетом расхода'!I6:I21),8)</f>
        <v>0</v>
      </c>
      <c r="K80" s="30">
        <f>ROUND(SUMIF(Определители!I6:I21,"=8",'Текущие цены с учетом расхода'!K6:K21),8)</f>
        <v>0</v>
      </c>
      <c r="L80" s="26">
        <f>ROUND(SUMIF(Определители!I6:I21,"=8",'Текущие цены с учетом расхода'!F6:F21),2)</f>
        <v>0</v>
      </c>
      <c r="N80" s="31" t="s">
        <v>344</v>
      </c>
    </row>
    <row r="81" spans="1:14" ht="10.5">
      <c r="A81" s="27">
        <v>75</v>
      </c>
      <c r="B81" s="9" t="s">
        <v>102</v>
      </c>
      <c r="C81" s="31" t="s">
        <v>272</v>
      </c>
      <c r="D81" s="34">
        <v>0</v>
      </c>
      <c r="F81" s="26">
        <f>ROUND(SUMIF(Определители!I6:I21,"=8",'Текущие цены с учетом расхода'!H6:H21),2)</f>
        <v>0</v>
      </c>
      <c r="G81" s="26"/>
      <c r="H81" s="26"/>
      <c r="I81" s="26"/>
      <c r="J81" s="30"/>
      <c r="K81" s="30"/>
      <c r="L81" s="26"/>
      <c r="N81" s="31" t="s">
        <v>345</v>
      </c>
    </row>
    <row r="82" spans="1:14" ht="10.5">
      <c r="A82" s="27">
        <v>76</v>
      </c>
      <c r="B82" s="9" t="s">
        <v>134</v>
      </c>
      <c r="C82" s="31" t="s">
        <v>279</v>
      </c>
      <c r="D82" s="34">
        <v>0</v>
      </c>
      <c r="F82" s="26">
        <f>ROUND((F17+F27+F34+F39+F47+F52+F57+F64+F70+F74+F79+F80),2)</f>
        <v>239277.95</v>
      </c>
      <c r="G82" s="26">
        <f>ROUND((G17+G27+G34+G39+G47+G52+G57+G64+G70+G74+G79+G80),2)</f>
        <v>0</v>
      </c>
      <c r="H82" s="26">
        <f>ROUND((H17+H27+H34+H39+H47+H52+H57+H64+H70+H74+H79+H80),2)</f>
        <v>0</v>
      </c>
      <c r="I82" s="26">
        <f>ROUND((I17+I27+I34+I39+I47+I52+I57+I64+I70+I74+I79+I80),2)</f>
        <v>0</v>
      </c>
      <c r="J82" s="30">
        <f>ROUND((J17+J27+J34+J39+J47+J52+J57+J64+J70+J74+J79+J80),8)</f>
        <v>0</v>
      </c>
      <c r="K82" s="30">
        <f>ROUND((K17+K27+K34+K39+K47+K52+K57+K64+K70+K74+K79+K80),8)</f>
        <v>0</v>
      </c>
      <c r="L82" s="26">
        <f>ROUND((L17+L27+L34+L39+L47+L52+L57+L64+L70+L74+L79+L80),2)</f>
        <v>0</v>
      </c>
      <c r="N82" s="31" t="s">
        <v>346</v>
      </c>
    </row>
    <row r="83" spans="1:14" ht="10.5">
      <c r="A83" s="27">
        <v>77</v>
      </c>
      <c r="B83" s="9" t="s">
        <v>135</v>
      </c>
      <c r="C83" s="31" t="s">
        <v>279</v>
      </c>
      <c r="D83" s="34">
        <v>0</v>
      </c>
      <c r="F83" s="26">
        <f>ROUND((F23+F31+F36+F43+F49+F54+F61+F76+F81),2)</f>
        <v>0</v>
      </c>
      <c r="G83" s="26"/>
      <c r="H83" s="26"/>
      <c r="I83" s="26"/>
      <c r="J83" s="30"/>
      <c r="K83" s="30"/>
      <c r="L83" s="26"/>
      <c r="N83" s="31" t="s">
        <v>347</v>
      </c>
    </row>
    <row r="84" spans="1:14" ht="10.5">
      <c r="A84" s="27">
        <v>78</v>
      </c>
      <c r="B84" s="9" t="s">
        <v>136</v>
      </c>
      <c r="C84" s="31" t="s">
        <v>279</v>
      </c>
      <c r="D84" s="34">
        <v>0</v>
      </c>
      <c r="F84" s="26">
        <f>ROUND((F24+F32+F37+F44+F50+F55+F62+F68+F72+F77),2)</f>
        <v>32096.42</v>
      </c>
      <c r="G84" s="26"/>
      <c r="H84" s="26"/>
      <c r="I84" s="26"/>
      <c r="J84" s="30"/>
      <c r="K84" s="30"/>
      <c r="L84" s="26"/>
      <c r="N84" s="31" t="s">
        <v>348</v>
      </c>
    </row>
    <row r="85" spans="1:14" ht="10.5">
      <c r="A85" s="27">
        <v>79</v>
      </c>
      <c r="B85" s="9" t="s">
        <v>137</v>
      </c>
      <c r="C85" s="31" t="s">
        <v>279</v>
      </c>
      <c r="D85" s="34">
        <v>0</v>
      </c>
      <c r="F85" s="26">
        <f>ROUND((F25+F33+F38+F45+F51+F56+F63+F69+F73+F78),2)</f>
        <v>26076.85</v>
      </c>
      <c r="G85" s="26"/>
      <c r="H85" s="26"/>
      <c r="I85" s="26"/>
      <c r="J85" s="30"/>
      <c r="K85" s="30"/>
      <c r="L85" s="26"/>
      <c r="N85" s="31" t="s">
        <v>349</v>
      </c>
    </row>
    <row r="86" spans="1:14" ht="10.5">
      <c r="A86" s="27">
        <v>80</v>
      </c>
      <c r="B86" s="9" t="s">
        <v>34</v>
      </c>
      <c r="C86" s="31" t="s">
        <v>350</v>
      </c>
      <c r="D86" s="34">
        <v>0</v>
      </c>
      <c r="F86" s="26">
        <f>ROUND(SUM('Текущие цены с учетом расхода'!X6:X21),2)</f>
        <v>0</v>
      </c>
      <c r="G86" s="26"/>
      <c r="H86" s="26"/>
      <c r="I86" s="26"/>
      <c r="J86" s="30"/>
      <c r="K86" s="30"/>
      <c r="L86" s="26">
        <f>ROUND(SUM('Текущие цены с учетом расхода'!X6:X21),2)</f>
        <v>0</v>
      </c>
      <c r="N86" s="31" t="s">
        <v>351</v>
      </c>
    </row>
    <row r="87" spans="1:14" ht="10.5">
      <c r="A87" s="27">
        <v>81</v>
      </c>
      <c r="B87" s="9" t="s">
        <v>138</v>
      </c>
      <c r="C87" s="31" t="s">
        <v>350</v>
      </c>
      <c r="D87" s="34">
        <v>0</v>
      </c>
      <c r="F87" s="26">
        <f>ROUND(SUM(G87:N87),2)</f>
        <v>0</v>
      </c>
      <c r="G87" s="26"/>
      <c r="H87" s="26"/>
      <c r="I87" s="26"/>
      <c r="J87" s="30"/>
      <c r="K87" s="30"/>
      <c r="L87" s="26">
        <f>ROUND(SUM('Текущие цены с учетом расхода'!AE6:AE21),2)</f>
        <v>0</v>
      </c>
      <c r="N87" s="31" t="s">
        <v>352</v>
      </c>
    </row>
    <row r="88" spans="1:14" ht="10.5">
      <c r="A88" s="27">
        <v>82</v>
      </c>
      <c r="B88" s="9" t="s">
        <v>139</v>
      </c>
      <c r="C88" s="31" t="s">
        <v>353</v>
      </c>
      <c r="D88" s="34">
        <v>0</v>
      </c>
      <c r="F88" s="26"/>
      <c r="G88" s="26"/>
      <c r="H88" s="26"/>
      <c r="I88" s="26"/>
      <c r="J88" s="30"/>
      <c r="K88" s="30"/>
      <c r="L88" s="26"/>
      <c r="N88" s="31" t="s">
        <v>354</v>
      </c>
    </row>
    <row r="89" spans="1:14" ht="10.5">
      <c r="A89" s="27">
        <v>83</v>
      </c>
      <c r="B89" s="9" t="s">
        <v>140</v>
      </c>
      <c r="C89" s="31" t="s">
        <v>350</v>
      </c>
      <c r="D89" s="34">
        <v>0</v>
      </c>
      <c r="F89" s="26">
        <f>ROUND(SUM('Текущие цены с учетом расхода'!F6:F21),2)</f>
        <v>90751.38</v>
      </c>
      <c r="G89" s="26"/>
      <c r="H89" s="26"/>
      <c r="I89" s="26"/>
      <c r="J89" s="30"/>
      <c r="K89" s="30"/>
      <c r="L89" s="26"/>
      <c r="N89" s="31" t="s">
        <v>355</v>
      </c>
    </row>
    <row r="90" spans="1:14" ht="10.5">
      <c r="A90" s="27">
        <v>84</v>
      </c>
      <c r="B90" s="9" t="s">
        <v>33</v>
      </c>
      <c r="C90" s="31" t="s">
        <v>356</v>
      </c>
      <c r="D90" s="34">
        <v>0</v>
      </c>
      <c r="F90" s="26">
        <f>ROUND((F89-F8),2)</f>
        <v>90751.38</v>
      </c>
      <c r="G90" s="26"/>
      <c r="H90" s="26"/>
      <c r="I90" s="26"/>
      <c r="J90" s="30"/>
      <c r="K90" s="30"/>
      <c r="L90" s="26"/>
      <c r="N90" s="31" t="s">
        <v>357</v>
      </c>
    </row>
    <row r="91" spans="1:14" ht="10.5">
      <c r="A91" s="27">
        <v>85</v>
      </c>
      <c r="B91" s="9" t="s">
        <v>141</v>
      </c>
      <c r="C91" s="31" t="s">
        <v>356</v>
      </c>
      <c r="D91" s="34">
        <v>0</v>
      </c>
      <c r="F91" s="26">
        <f>ROUND((F17),2)</f>
        <v>0</v>
      </c>
      <c r="G91" s="26"/>
      <c r="H91" s="26"/>
      <c r="I91" s="26"/>
      <c r="J91" s="30"/>
      <c r="K91" s="30"/>
      <c r="L91" s="26"/>
      <c r="N91" s="31" t="s">
        <v>358</v>
      </c>
    </row>
    <row r="92" spans="1:14" ht="10.5">
      <c r="A92" s="27">
        <v>86</v>
      </c>
      <c r="B92" s="9" t="s">
        <v>142</v>
      </c>
      <c r="C92" s="31" t="s">
        <v>350</v>
      </c>
      <c r="D92" s="34">
        <v>0</v>
      </c>
      <c r="F92" s="26">
        <f>ROUND(SUM('Текущие цены с учетом расхода'!C6:C21),2)</f>
        <v>31844.61</v>
      </c>
      <c r="G92" s="26"/>
      <c r="H92" s="26"/>
      <c r="I92" s="26"/>
      <c r="J92" s="30"/>
      <c r="K92" s="30"/>
      <c r="L92" s="26"/>
      <c r="N92" s="31" t="s">
        <v>359</v>
      </c>
    </row>
    <row r="93" spans="1:14" ht="10.5">
      <c r="A93" s="27">
        <v>87</v>
      </c>
      <c r="B93" s="9" t="s">
        <v>31</v>
      </c>
      <c r="C93" s="31" t="s">
        <v>350</v>
      </c>
      <c r="D93" s="34">
        <v>0</v>
      </c>
      <c r="F93" s="26">
        <f>ROUND(SUM('Текущие цены с учетом расхода'!D6:D21),2)</f>
        <v>58508.69</v>
      </c>
      <c r="G93" s="26"/>
      <c r="H93" s="26"/>
      <c r="I93" s="26"/>
      <c r="J93" s="30"/>
      <c r="K93" s="30"/>
      <c r="L93" s="26"/>
      <c r="N93" s="31" t="s">
        <v>360</v>
      </c>
    </row>
    <row r="94" spans="1:14" ht="10.5">
      <c r="A94" s="27">
        <v>88</v>
      </c>
      <c r="B94" s="9" t="s">
        <v>143</v>
      </c>
      <c r="C94" s="31" t="s">
        <v>350</v>
      </c>
      <c r="D94" s="34">
        <v>0</v>
      </c>
      <c r="F94" s="26">
        <f>ROUND(SUM('Текущие цены с учетом расхода'!E6:E21),2)</f>
        <v>6976.51</v>
      </c>
      <c r="G94" s="26"/>
      <c r="H94" s="26"/>
      <c r="I94" s="26"/>
      <c r="J94" s="30"/>
      <c r="K94" s="30"/>
      <c r="L94" s="26"/>
      <c r="N94" s="31" t="s">
        <v>361</v>
      </c>
    </row>
    <row r="95" spans="1:14" ht="10.5">
      <c r="A95" s="27">
        <v>89</v>
      </c>
      <c r="B95" s="9" t="s">
        <v>144</v>
      </c>
      <c r="C95" s="31" t="s">
        <v>362</v>
      </c>
      <c r="D95" s="34">
        <v>0</v>
      </c>
      <c r="F95" s="26">
        <f>ROUND((F92+F94),2)</f>
        <v>38821.12</v>
      </c>
      <c r="G95" s="26"/>
      <c r="H95" s="26"/>
      <c r="I95" s="26"/>
      <c r="J95" s="30"/>
      <c r="K95" s="30"/>
      <c r="L95" s="26"/>
      <c r="N95" s="31" t="s">
        <v>363</v>
      </c>
    </row>
    <row r="96" spans="1:14" ht="10.5">
      <c r="A96" s="27">
        <v>90</v>
      </c>
      <c r="B96" s="9" t="s">
        <v>145</v>
      </c>
      <c r="C96" s="31" t="s">
        <v>350</v>
      </c>
      <c r="D96" s="34">
        <v>0</v>
      </c>
      <c r="F96" s="26"/>
      <c r="G96" s="26"/>
      <c r="H96" s="26"/>
      <c r="I96" s="26"/>
      <c r="J96" s="30">
        <f>ROUND(SUM('Текущие цены с учетом расхода'!I6:I21),8)</f>
        <v>122.2704</v>
      </c>
      <c r="K96" s="30"/>
      <c r="L96" s="26"/>
      <c r="N96" s="31" t="s">
        <v>364</v>
      </c>
    </row>
    <row r="97" spans="1:14" ht="10.5">
      <c r="A97" s="27">
        <v>91</v>
      </c>
      <c r="B97" s="9" t="s">
        <v>146</v>
      </c>
      <c r="C97" s="31" t="s">
        <v>350</v>
      </c>
      <c r="D97" s="34">
        <v>0</v>
      </c>
      <c r="F97" s="26"/>
      <c r="G97" s="26"/>
      <c r="H97" s="26"/>
      <c r="I97" s="26"/>
      <c r="J97" s="30">
        <f>ROUND(SUM('Текущие цены с учетом расхода'!K6:K21),8)</f>
        <v>20.932896</v>
      </c>
      <c r="K97" s="30"/>
      <c r="L97" s="26"/>
      <c r="N97" s="31" t="s">
        <v>365</v>
      </c>
    </row>
    <row r="98" spans="1:14" ht="10.5">
      <c r="A98" s="27">
        <v>92</v>
      </c>
      <c r="B98" s="9" t="s">
        <v>147</v>
      </c>
      <c r="C98" s="31" t="s">
        <v>362</v>
      </c>
      <c r="D98" s="34">
        <v>0</v>
      </c>
      <c r="F98" s="26"/>
      <c r="G98" s="26"/>
      <c r="H98" s="26"/>
      <c r="I98" s="26"/>
      <c r="J98" s="30">
        <f>ROUND((J96+J97),8)</f>
        <v>143.203296</v>
      </c>
      <c r="K98" s="30"/>
      <c r="L98" s="26"/>
      <c r="N98" s="31" t="s">
        <v>366</v>
      </c>
    </row>
    <row r="99" spans="1:14" ht="10.5">
      <c r="A99" s="27">
        <v>93</v>
      </c>
      <c r="B99" s="9" t="s">
        <v>41</v>
      </c>
      <c r="C99" s="31" t="s">
        <v>362</v>
      </c>
      <c r="D99" s="34">
        <v>0</v>
      </c>
      <c r="F99" s="26">
        <f>ROUND((F84),2)</f>
        <v>32096.42</v>
      </c>
      <c r="G99" s="26"/>
      <c r="H99" s="26"/>
      <c r="I99" s="26"/>
      <c r="J99" s="30"/>
      <c r="K99" s="30"/>
      <c r="L99" s="26"/>
      <c r="N99" s="31" t="s">
        <v>367</v>
      </c>
    </row>
    <row r="100" spans="1:14" ht="10.5">
      <c r="A100" s="27">
        <v>94</v>
      </c>
      <c r="B100" s="9" t="s">
        <v>47</v>
      </c>
      <c r="C100" s="31" t="s">
        <v>362</v>
      </c>
      <c r="D100" s="34">
        <v>0</v>
      </c>
      <c r="F100" s="26">
        <f>ROUND((F85),2)</f>
        <v>26076.85</v>
      </c>
      <c r="G100" s="26"/>
      <c r="H100" s="26"/>
      <c r="I100" s="26"/>
      <c r="J100" s="30"/>
      <c r="K100" s="30"/>
      <c r="L100" s="26"/>
      <c r="N100" s="31" t="s">
        <v>368</v>
      </c>
    </row>
    <row r="101" spans="1:14" ht="10.5">
      <c r="A101" s="27">
        <v>95</v>
      </c>
      <c r="B101" s="9" t="s">
        <v>148</v>
      </c>
      <c r="C101" s="31" t="s">
        <v>369</v>
      </c>
      <c r="D101" s="34">
        <v>20</v>
      </c>
      <c r="F101" s="26">
        <f>ROUND((F82)*D101/100,2)</f>
        <v>47855.59</v>
      </c>
      <c r="G101" s="26"/>
      <c r="H101" s="26"/>
      <c r="I101" s="26"/>
      <c r="J101" s="30"/>
      <c r="K101" s="30"/>
      <c r="L101" s="26"/>
      <c r="N101" s="31" t="s">
        <v>370</v>
      </c>
    </row>
    <row r="102" spans="1:14" ht="10.5">
      <c r="A102" s="27">
        <v>96</v>
      </c>
      <c r="B102" s="9" t="s">
        <v>149</v>
      </c>
      <c r="C102" s="31" t="s">
        <v>362</v>
      </c>
      <c r="D102" s="34">
        <v>0</v>
      </c>
      <c r="F102" s="26">
        <f>ROUND((F82+F101),2)</f>
        <v>287133.54</v>
      </c>
      <c r="G102" s="26"/>
      <c r="H102" s="26"/>
      <c r="I102" s="26"/>
      <c r="J102" s="30"/>
      <c r="K102" s="30"/>
      <c r="L102" s="26"/>
      <c r="N102" s="31" t="s">
        <v>371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Виктория Карпова</cp:lastModifiedBy>
  <dcterms:created xsi:type="dcterms:W3CDTF">2021-08-17T07:57:09Z</dcterms:created>
  <dcterms:modified xsi:type="dcterms:W3CDTF">2021-08-23T12:58:43Z</dcterms:modified>
  <cp:category/>
  <cp:version/>
  <cp:contentType/>
  <cp:contentStatus/>
</cp:coreProperties>
</file>